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Ken Pataky" reservationPassword="81DD"/>
  <workbookPr defaultThemeVersion="124226"/>
  <bookViews>
    <workbookView xWindow="120" yWindow="285" windowWidth="17235" windowHeight="8325" activeTab="1"/>
  </bookViews>
  <sheets>
    <sheet name="CoilsLPSum" sheetId="4" r:id="rId1"/>
    <sheet name="CLP01" sheetId="5" r:id="rId2"/>
    <sheet name="CLP02" sheetId="6" r:id="rId3"/>
    <sheet name="CLP03" sheetId="7" r:id="rId4"/>
    <sheet name="CLP04" sheetId="8" r:id="rId5"/>
    <sheet name="AM01" sheetId="9" r:id="rId6"/>
    <sheet name="CV01" sheetId="10" r:id="rId7"/>
    <sheet name="OI01" sheetId="11" r:id="rId8"/>
  </sheets>
  <definedNames>
    <definedName name="_Regression_Int" localSheetId="5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xlnm.Print_Area" localSheetId="5">'AM01'!$A$1:$O$94</definedName>
    <definedName name="_xlnm.Print_Area" localSheetId="1">'CLP01'!$A$1:$O$95</definedName>
    <definedName name="_xlnm.Print_Area" localSheetId="2">'CLP02'!$A$1:$O$94</definedName>
    <definedName name="_xlnm.Print_Area" localSheetId="3">'CLP03'!$A$1:$O$96</definedName>
    <definedName name="_xlnm.Print_Area" localSheetId="4">'CLP04'!$A$1:$O$100</definedName>
    <definedName name="_xlnm.Print_Area" localSheetId="6">'CV01'!$A$1:$O$95</definedName>
    <definedName name="_xlnm.Print_Area" localSheetId="7">'OI01'!$A$1:$O$94</definedName>
    <definedName name="Print_Area_MI" localSheetId="5">'AM01'!$A$1:$P$94</definedName>
    <definedName name="Print_Area_MI" localSheetId="2">'CLP02'!$A$1:$P$94</definedName>
    <definedName name="Print_Area_MI" localSheetId="3">'CLP03'!$A$1:$P$96</definedName>
    <definedName name="Print_Area_MI" localSheetId="4">'CLP04'!$A$1:$P$100</definedName>
    <definedName name="Print_Area_MI" localSheetId="6">'CV01'!$A$1:$P$95</definedName>
    <definedName name="Print_Area_MI" localSheetId="7">'OI01'!$A$1:$P$94</definedName>
    <definedName name="Print_Area_MI">'CLP01'!$A$1:$P$95</definedName>
    <definedName name="_xlnm.Print_Titles" localSheetId="5">'AM01'!#REF!</definedName>
    <definedName name="Print_Titles_MI" localSheetId="5">'AM01'!#REF!</definedName>
    <definedName name="Print_Titles_MI" localSheetId="1">'CLP01'!#REF!</definedName>
    <definedName name="Print_Titles_MI" localSheetId="2">'CLP02'!#REF!</definedName>
    <definedName name="Print_Titles_MI" localSheetId="3">'CLP03'!#REF!</definedName>
    <definedName name="Print_Titles_MI" localSheetId="4">'CLP04'!#REF!</definedName>
    <definedName name="Print_Titles_MI" localSheetId="6">'CV01'!#REF!</definedName>
    <definedName name="Print_Titles_MI" localSheetId="7">'OI01'!#REF!</definedName>
  </definedNames>
  <calcPr calcId="145621"/>
</workbook>
</file>

<file path=xl/calcChain.xml><?xml version="1.0" encoding="utf-8"?>
<calcChain xmlns="http://schemas.openxmlformats.org/spreadsheetml/2006/main">
  <c r="N92" i="8" l="1"/>
  <c r="M92" i="8"/>
  <c r="N91" i="8"/>
  <c r="M91" i="8"/>
  <c r="N90" i="8"/>
  <c r="M90" i="8"/>
  <c r="N89" i="8"/>
  <c r="M89" i="8"/>
  <c r="N88" i="8"/>
  <c r="M88" i="8"/>
  <c r="A88" i="8"/>
  <c r="A89" i="8"/>
  <c r="A90" i="8"/>
  <c r="A91" i="8"/>
  <c r="A92" i="8"/>
  <c r="A87" i="8"/>
  <c r="M87" i="8"/>
  <c r="N87" i="8"/>
  <c r="F21" i="4"/>
  <c r="F25" i="4"/>
  <c r="F24" i="4"/>
  <c r="F23" i="4"/>
  <c r="F22" i="4"/>
  <c r="F20" i="4"/>
  <c r="F19" i="4"/>
  <c r="G25" i="4"/>
  <c r="D25" i="4"/>
  <c r="C25" i="4"/>
  <c r="G24" i="4"/>
  <c r="D24" i="4"/>
  <c r="C24" i="4"/>
  <c r="G23" i="4"/>
  <c r="D23" i="4"/>
  <c r="C23" i="4"/>
  <c r="G21" i="4"/>
  <c r="D21" i="4"/>
  <c r="C21" i="4"/>
  <c r="G20" i="4"/>
  <c r="C20" i="4"/>
  <c r="G19" i="4"/>
  <c r="D19" i="4"/>
  <c r="C19" i="4"/>
  <c r="O93" i="11"/>
  <c r="O92" i="11"/>
  <c r="E25" i="4"/>
  <c r="O91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M10" i="11"/>
  <c r="O90" i="11"/>
  <c r="O94" i="10"/>
  <c r="O93" i="10"/>
  <c r="E24" i="4"/>
  <c r="M87" i="10"/>
  <c r="N87" i="10"/>
  <c r="M86" i="10"/>
  <c r="N86" i="10"/>
  <c r="M85" i="10"/>
  <c r="N85" i="10"/>
  <c r="M84" i="10"/>
  <c r="N84" i="10"/>
  <c r="M83" i="10"/>
  <c r="N83" i="10"/>
  <c r="N82" i="10"/>
  <c r="M82" i="10"/>
  <c r="M81" i="10"/>
  <c r="N81" i="10"/>
  <c r="N80" i="10"/>
  <c r="M80" i="10"/>
  <c r="M79" i="10"/>
  <c r="N79" i="10"/>
  <c r="N78" i="10"/>
  <c r="M78" i="10"/>
  <c r="M77" i="10"/>
  <c r="N77" i="10"/>
  <c r="N76" i="10"/>
  <c r="M76" i="10"/>
  <c r="M75" i="10"/>
  <c r="N75" i="10"/>
  <c r="M74" i="10"/>
  <c r="N73" i="10"/>
  <c r="M73" i="10"/>
  <c r="M72" i="10"/>
  <c r="N72" i="10"/>
  <c r="N71" i="10"/>
  <c r="M71" i="10"/>
  <c r="M70" i="10"/>
  <c r="N70" i="10"/>
  <c r="N69" i="10"/>
  <c r="M69" i="10"/>
  <c r="M68" i="10"/>
  <c r="N68" i="10"/>
  <c r="N67" i="10"/>
  <c r="M67" i="10"/>
  <c r="M66" i="10"/>
  <c r="N66" i="10"/>
  <c r="N65" i="10"/>
  <c r="M65" i="10"/>
  <c r="M64" i="10"/>
  <c r="N64" i="10"/>
  <c r="N63" i="10"/>
  <c r="M63" i="10"/>
  <c r="M62" i="10"/>
  <c r="N62" i="10"/>
  <c r="N61" i="10"/>
  <c r="M61" i="10"/>
  <c r="M60" i="10"/>
  <c r="N60" i="10"/>
  <c r="N59" i="10"/>
  <c r="M59" i="10"/>
  <c r="M58" i="10"/>
  <c r="N58" i="10"/>
  <c r="N57" i="10"/>
  <c r="M57" i="10"/>
  <c r="M56" i="10"/>
  <c r="N56" i="10"/>
  <c r="N55" i="10"/>
  <c r="M55" i="10"/>
  <c r="M54" i="10"/>
  <c r="N54" i="10"/>
  <c r="N53" i="10"/>
  <c r="M53" i="10"/>
  <c r="M52" i="10"/>
  <c r="N52" i="10"/>
  <c r="N51" i="10"/>
  <c r="M51" i="10"/>
  <c r="M50" i="10"/>
  <c r="N50" i="10"/>
  <c r="N49" i="10"/>
  <c r="M49" i="10"/>
  <c r="M48" i="10"/>
  <c r="N48" i="10"/>
  <c r="N47" i="10"/>
  <c r="M47" i="10"/>
  <c r="M46" i="10"/>
  <c r="N46" i="10"/>
  <c r="N45" i="10"/>
  <c r="M45" i="10"/>
  <c r="M44" i="10"/>
  <c r="N44" i="10"/>
  <c r="N43" i="10"/>
  <c r="M43" i="10"/>
  <c r="M42" i="10"/>
  <c r="N42" i="10"/>
  <c r="N41" i="10"/>
  <c r="M41" i="10"/>
  <c r="M40" i="10"/>
  <c r="N40" i="10"/>
  <c r="N39" i="10"/>
  <c r="M39" i="10"/>
  <c r="M38" i="10"/>
  <c r="N38" i="10"/>
  <c r="N37" i="10"/>
  <c r="M37" i="10"/>
  <c r="M36" i="10"/>
  <c r="N36" i="10"/>
  <c r="N35" i="10"/>
  <c r="M35" i="10"/>
  <c r="M34" i="10"/>
  <c r="N34" i="10"/>
  <c r="N33" i="10"/>
  <c r="M33" i="10"/>
  <c r="M32" i="10"/>
  <c r="N32" i="10"/>
  <c r="N31" i="10"/>
  <c r="M31" i="10"/>
  <c r="M30" i="10"/>
  <c r="N30" i="10"/>
  <c r="N29" i="10"/>
  <c r="M29" i="10"/>
  <c r="M28" i="10"/>
  <c r="N28" i="10"/>
  <c r="N27" i="10"/>
  <c r="M27" i="10"/>
  <c r="M26" i="10"/>
  <c r="N26" i="10"/>
  <c r="N25" i="10"/>
  <c r="M25" i="10"/>
  <c r="M24" i="10"/>
  <c r="N24" i="10"/>
  <c r="N23" i="10"/>
  <c r="M23" i="10"/>
  <c r="M22" i="10"/>
  <c r="N22" i="10"/>
  <c r="N21" i="10"/>
  <c r="M21" i="10"/>
  <c r="M20" i="10"/>
  <c r="N20" i="10"/>
  <c r="N19" i="10"/>
  <c r="M19" i="10"/>
  <c r="M18" i="10"/>
  <c r="N18" i="10"/>
  <c r="N17" i="10"/>
  <c r="M17" i="10"/>
  <c r="M16" i="10"/>
  <c r="N16" i="10"/>
  <c r="N15" i="10"/>
  <c r="M15" i="10"/>
  <c r="M14" i="10"/>
  <c r="N14" i="10"/>
  <c r="N13" i="10"/>
  <c r="M13" i="10"/>
  <c r="M12" i="10"/>
  <c r="N12" i="10"/>
  <c r="N11" i="10"/>
  <c r="M11" i="10"/>
  <c r="O91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O93" i="9"/>
  <c r="O92" i="9"/>
  <c r="E23" i="4"/>
  <c r="O91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H18" i="9"/>
  <c r="M17" i="9"/>
  <c r="H17" i="9"/>
  <c r="M16" i="9"/>
  <c r="H16" i="9"/>
  <c r="M15" i="9"/>
  <c r="H15" i="9"/>
  <c r="M14" i="9"/>
  <c r="H14" i="9"/>
  <c r="M13" i="9"/>
  <c r="H13" i="9"/>
  <c r="M12" i="9"/>
  <c r="H12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M11" i="9"/>
  <c r="H11" i="9"/>
  <c r="A11" i="9"/>
  <c r="M10" i="9"/>
  <c r="O90" i="9"/>
  <c r="O99" i="8"/>
  <c r="G22" i="4"/>
  <c r="G32" i="4"/>
  <c r="O98" i="8"/>
  <c r="E22" i="4"/>
  <c r="M86" i="8"/>
  <c r="N86" i="8"/>
  <c r="M85" i="8"/>
  <c r="N85" i="8"/>
  <c r="M84" i="8"/>
  <c r="N84" i="8"/>
  <c r="M83" i="8"/>
  <c r="N83" i="8"/>
  <c r="M82" i="8"/>
  <c r="N82" i="8"/>
  <c r="M81" i="8"/>
  <c r="N81" i="8"/>
  <c r="M80" i="8"/>
  <c r="N80" i="8"/>
  <c r="M79" i="8"/>
  <c r="N79" i="8"/>
  <c r="M78" i="8"/>
  <c r="N78" i="8"/>
  <c r="M77" i="8"/>
  <c r="N77" i="8"/>
  <c r="M76" i="8"/>
  <c r="N76" i="8"/>
  <c r="M75" i="8"/>
  <c r="N75" i="8"/>
  <c r="M74" i="8"/>
  <c r="N74" i="8"/>
  <c r="H74" i="8"/>
  <c r="N73" i="8"/>
  <c r="M73" i="8"/>
  <c r="M72" i="8"/>
  <c r="N72" i="8"/>
  <c r="N71" i="8"/>
  <c r="M71" i="8"/>
  <c r="H71" i="8"/>
  <c r="M70" i="8"/>
  <c r="N70" i="8"/>
  <c r="H70" i="8"/>
  <c r="N69" i="8"/>
  <c r="M69" i="8"/>
  <c r="M68" i="8"/>
  <c r="N68" i="8"/>
  <c r="H68" i="8"/>
  <c r="M67" i="8"/>
  <c r="N67" i="8"/>
  <c r="H67" i="8"/>
  <c r="M66" i="8"/>
  <c r="N66" i="8"/>
  <c r="H66" i="8"/>
  <c r="M65" i="8"/>
  <c r="N65" i="8"/>
  <c r="H65" i="8"/>
  <c r="M64" i="8"/>
  <c r="N64" i="8"/>
  <c r="H64" i="8"/>
  <c r="M63" i="8"/>
  <c r="N63" i="8"/>
  <c r="H63" i="8"/>
  <c r="M62" i="8"/>
  <c r="N62" i="8"/>
  <c r="N61" i="8"/>
  <c r="M61" i="8"/>
  <c r="H61" i="8"/>
  <c r="M60" i="8"/>
  <c r="N60" i="8"/>
  <c r="H60" i="8"/>
  <c r="N59" i="8"/>
  <c r="M59" i="8"/>
  <c r="H59" i="8"/>
  <c r="M58" i="8"/>
  <c r="N58" i="8"/>
  <c r="H58" i="8"/>
  <c r="N57" i="8"/>
  <c r="M57" i="8"/>
  <c r="H57" i="8"/>
  <c r="M56" i="8"/>
  <c r="N56" i="8"/>
  <c r="H56" i="8"/>
  <c r="N55" i="8"/>
  <c r="M55" i="8"/>
  <c r="H55" i="8"/>
  <c r="M54" i="8"/>
  <c r="N54" i="8"/>
  <c r="H54" i="8"/>
  <c r="N53" i="8"/>
  <c r="M53" i="8"/>
  <c r="H53" i="8"/>
  <c r="M52" i="8"/>
  <c r="N52" i="8"/>
  <c r="M51" i="8"/>
  <c r="N51" i="8"/>
  <c r="H51" i="8"/>
  <c r="M50" i="8"/>
  <c r="N50" i="8"/>
  <c r="H50" i="8"/>
  <c r="M49" i="8"/>
  <c r="N49" i="8"/>
  <c r="H49" i="8"/>
  <c r="M48" i="8"/>
  <c r="N48" i="8"/>
  <c r="H48" i="8"/>
  <c r="M47" i="8"/>
  <c r="N47" i="8"/>
  <c r="H47" i="8"/>
  <c r="M46" i="8"/>
  <c r="N46" i="8"/>
  <c r="H46" i="8"/>
  <c r="M45" i="8"/>
  <c r="N45" i="8"/>
  <c r="H45" i="8"/>
  <c r="M44" i="8"/>
  <c r="N44" i="8"/>
  <c r="H44" i="8"/>
  <c r="M43" i="8"/>
  <c r="N43" i="8"/>
  <c r="H43" i="8"/>
  <c r="M42" i="8"/>
  <c r="N42" i="8"/>
  <c r="H42" i="8"/>
  <c r="M41" i="8"/>
  <c r="N41" i="8"/>
  <c r="H41" i="8"/>
  <c r="M40" i="8"/>
  <c r="N40" i="8"/>
  <c r="H40" i="8"/>
  <c r="M39" i="8"/>
  <c r="N39" i="8"/>
  <c r="H39" i="8"/>
  <c r="M38" i="8"/>
  <c r="N38" i="8"/>
  <c r="H38" i="8"/>
  <c r="M37" i="8"/>
  <c r="N37" i="8"/>
  <c r="H37" i="8"/>
  <c r="M36" i="8"/>
  <c r="N36" i="8"/>
  <c r="H36" i="8"/>
  <c r="M35" i="8"/>
  <c r="N35" i="8"/>
  <c r="H35" i="8"/>
  <c r="M34" i="8"/>
  <c r="N34" i="8"/>
  <c r="H34" i="8"/>
  <c r="M33" i="8"/>
  <c r="N33" i="8"/>
  <c r="H33" i="8"/>
  <c r="M32" i="8"/>
  <c r="N32" i="8"/>
  <c r="H32" i="8"/>
  <c r="M31" i="8"/>
  <c r="N31" i="8"/>
  <c r="H31" i="8"/>
  <c r="M30" i="8"/>
  <c r="N30" i="8"/>
  <c r="H30" i="8"/>
  <c r="M29" i="8"/>
  <c r="N29" i="8"/>
  <c r="H29" i="8"/>
  <c r="M28" i="8"/>
  <c r="N28" i="8"/>
  <c r="H28" i="8"/>
  <c r="M27" i="8"/>
  <c r="N27" i="8"/>
  <c r="H27" i="8"/>
  <c r="M26" i="8"/>
  <c r="N26" i="8"/>
  <c r="H26" i="8"/>
  <c r="M25" i="8"/>
  <c r="N25" i="8"/>
  <c r="H25" i="8"/>
  <c r="M24" i="8"/>
  <c r="N24" i="8"/>
  <c r="H24" i="8"/>
  <c r="M23" i="8"/>
  <c r="N23" i="8"/>
  <c r="H23" i="8"/>
  <c r="M22" i="8"/>
  <c r="N22" i="8"/>
  <c r="H22" i="8"/>
  <c r="M21" i="8"/>
  <c r="N21" i="8"/>
  <c r="M20" i="8"/>
  <c r="N20" i="8"/>
  <c r="H20" i="8"/>
  <c r="N19" i="8"/>
  <c r="M19" i="8"/>
  <c r="H19" i="8"/>
  <c r="M18" i="8"/>
  <c r="N18" i="8"/>
  <c r="H18" i="8"/>
  <c r="N17" i="8"/>
  <c r="M17" i="8"/>
  <c r="H17" i="8"/>
  <c r="M16" i="8"/>
  <c r="N16" i="8"/>
  <c r="H16" i="8"/>
  <c r="N15" i="8"/>
  <c r="M15" i="8"/>
  <c r="H15" i="8"/>
  <c r="M14" i="8"/>
  <c r="N14" i="8"/>
  <c r="H14" i="8"/>
  <c r="N13" i="8"/>
  <c r="M13" i="8"/>
  <c r="H13" i="8"/>
  <c r="N12" i="8"/>
  <c r="M12" i="8"/>
  <c r="H12" i="8"/>
  <c r="N11" i="8"/>
  <c r="M11" i="8"/>
  <c r="H11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N10" i="8"/>
  <c r="M10" i="8"/>
  <c r="O96" i="8"/>
  <c r="C22" i="4"/>
  <c r="C32" i="4"/>
  <c r="H10" i="8"/>
  <c r="O95" i="7"/>
  <c r="O94" i="7"/>
  <c r="E21" i="4"/>
  <c r="M88" i="7"/>
  <c r="N88" i="7"/>
  <c r="H88" i="7"/>
  <c r="N87" i="7"/>
  <c r="M87" i="7"/>
  <c r="H87" i="7"/>
  <c r="N86" i="7"/>
  <c r="M86" i="7"/>
  <c r="H86" i="7"/>
  <c r="N85" i="7"/>
  <c r="M85" i="7"/>
  <c r="H85" i="7"/>
  <c r="N84" i="7"/>
  <c r="M84" i="7"/>
  <c r="H84" i="7"/>
  <c r="N83" i="7"/>
  <c r="M83" i="7"/>
  <c r="H83" i="7"/>
  <c r="N82" i="7"/>
  <c r="M82" i="7"/>
  <c r="H82" i="7"/>
  <c r="N81" i="7"/>
  <c r="M81" i="7"/>
  <c r="H81" i="7"/>
  <c r="N80" i="7"/>
  <c r="M80" i="7"/>
  <c r="H80" i="7"/>
  <c r="N79" i="7"/>
  <c r="M79" i="7"/>
  <c r="H79" i="7"/>
  <c r="N78" i="7"/>
  <c r="M78" i="7"/>
  <c r="H78" i="7"/>
  <c r="N77" i="7"/>
  <c r="M77" i="7"/>
  <c r="H77" i="7"/>
  <c r="N76" i="7"/>
  <c r="M76" i="7"/>
  <c r="H76" i="7"/>
  <c r="N75" i="7"/>
  <c r="M75" i="7"/>
  <c r="H75" i="7"/>
  <c r="M74" i="7"/>
  <c r="H74" i="7"/>
  <c r="M73" i="7"/>
  <c r="N73" i="7"/>
  <c r="H73" i="7"/>
  <c r="M72" i="7"/>
  <c r="N72" i="7"/>
  <c r="N71" i="7"/>
  <c r="M71" i="7"/>
  <c r="H71" i="7"/>
  <c r="N70" i="7"/>
  <c r="M70" i="7"/>
  <c r="H70" i="7"/>
  <c r="N69" i="7"/>
  <c r="M69" i="7"/>
  <c r="H69" i="7"/>
  <c r="N68" i="7"/>
  <c r="M68" i="7"/>
  <c r="H68" i="7"/>
  <c r="N67" i="7"/>
  <c r="M67" i="7"/>
  <c r="H67" i="7"/>
  <c r="N66" i="7"/>
  <c r="M66" i="7"/>
  <c r="H66" i="7"/>
  <c r="N65" i="7"/>
  <c r="M65" i="7"/>
  <c r="H65" i="7"/>
  <c r="N64" i="7"/>
  <c r="M64" i="7"/>
  <c r="H64" i="7"/>
  <c r="N63" i="7"/>
  <c r="M63" i="7"/>
  <c r="H63" i="7"/>
  <c r="N62" i="7"/>
  <c r="M62" i="7"/>
  <c r="H62" i="7"/>
  <c r="N61" i="7"/>
  <c r="M61" i="7"/>
  <c r="H61" i="7"/>
  <c r="N60" i="7"/>
  <c r="M60" i="7"/>
  <c r="H60" i="7"/>
  <c r="N59" i="7"/>
  <c r="M59" i="7"/>
  <c r="H59" i="7"/>
  <c r="N58" i="7"/>
  <c r="M58" i="7"/>
  <c r="H58" i="7"/>
  <c r="N57" i="7"/>
  <c r="M57" i="7"/>
  <c r="H57" i="7"/>
  <c r="N56" i="7"/>
  <c r="M56" i="7"/>
  <c r="H56" i="7"/>
  <c r="N55" i="7"/>
  <c r="M55" i="7"/>
  <c r="H55" i="7"/>
  <c r="N54" i="7"/>
  <c r="M54" i="7"/>
  <c r="H54" i="7"/>
  <c r="N53" i="7"/>
  <c r="M53" i="7"/>
  <c r="H53" i="7"/>
  <c r="N52" i="7"/>
  <c r="M52" i="7"/>
  <c r="H52" i="7"/>
  <c r="N51" i="7"/>
  <c r="M51" i="7"/>
  <c r="H51" i="7"/>
  <c r="N50" i="7"/>
  <c r="M50" i="7"/>
  <c r="M49" i="7"/>
  <c r="N49" i="7"/>
  <c r="H49" i="7"/>
  <c r="M48" i="7"/>
  <c r="N48" i="7"/>
  <c r="N47" i="7"/>
  <c r="M47" i="7"/>
  <c r="H47" i="7"/>
  <c r="N46" i="7"/>
  <c r="M46" i="7"/>
  <c r="H46" i="7"/>
  <c r="N45" i="7"/>
  <c r="M45" i="7"/>
  <c r="H45" i="7"/>
  <c r="N44" i="7"/>
  <c r="M44" i="7"/>
  <c r="H44" i="7"/>
  <c r="N43" i="7"/>
  <c r="M43" i="7"/>
  <c r="H43" i="7"/>
  <c r="N42" i="7"/>
  <c r="M42" i="7"/>
  <c r="H42" i="7"/>
  <c r="N41" i="7"/>
  <c r="M41" i="7"/>
  <c r="H41" i="7"/>
  <c r="N40" i="7"/>
  <c r="M40" i="7"/>
  <c r="H40" i="7"/>
  <c r="N39" i="7"/>
  <c r="M39" i="7"/>
  <c r="H39" i="7"/>
  <c r="N38" i="7"/>
  <c r="M38" i="7"/>
  <c r="H38" i="7"/>
  <c r="N37" i="7"/>
  <c r="M37" i="7"/>
  <c r="H37" i="7"/>
  <c r="N36" i="7"/>
  <c r="M36" i="7"/>
  <c r="H36" i="7"/>
  <c r="N35" i="7"/>
  <c r="M35" i="7"/>
  <c r="H35" i="7"/>
  <c r="N34" i="7"/>
  <c r="M34" i="7"/>
  <c r="H34" i="7"/>
  <c r="N33" i="7"/>
  <c r="M33" i="7"/>
  <c r="H33" i="7"/>
  <c r="N32" i="7"/>
  <c r="M32" i="7"/>
  <c r="H32" i="7"/>
  <c r="N31" i="7"/>
  <c r="M31" i="7"/>
  <c r="H31" i="7"/>
  <c r="N30" i="7"/>
  <c r="M30" i="7"/>
  <c r="H30" i="7"/>
  <c r="N29" i="7"/>
  <c r="M29" i="7"/>
  <c r="H29" i="7"/>
  <c r="N28" i="7"/>
  <c r="M28" i="7"/>
  <c r="H28" i="7"/>
  <c r="N27" i="7"/>
  <c r="M27" i="7"/>
  <c r="H27" i="7"/>
  <c r="N26" i="7"/>
  <c r="M26" i="7"/>
  <c r="H26" i="7"/>
  <c r="N25" i="7"/>
  <c r="M25" i="7"/>
  <c r="H25" i="7"/>
  <c r="N24" i="7"/>
  <c r="M24" i="7"/>
  <c r="H24" i="7"/>
  <c r="N23" i="7"/>
  <c r="M23" i="7"/>
  <c r="H23" i="7"/>
  <c r="N22" i="7"/>
  <c r="M22" i="7"/>
  <c r="H22" i="7"/>
  <c r="N21" i="7"/>
  <c r="M21" i="7"/>
  <c r="M20" i="7"/>
  <c r="N20" i="7"/>
  <c r="H20" i="7"/>
  <c r="M19" i="7"/>
  <c r="N19" i="7"/>
  <c r="H19" i="7"/>
  <c r="M18" i="7"/>
  <c r="N18" i="7"/>
  <c r="H18" i="7"/>
  <c r="M17" i="7"/>
  <c r="N17" i="7"/>
  <c r="H17" i="7"/>
  <c r="M16" i="7"/>
  <c r="N16" i="7"/>
  <c r="H16" i="7"/>
  <c r="M15" i="7"/>
  <c r="N15" i="7"/>
  <c r="H15" i="7"/>
  <c r="M14" i="7"/>
  <c r="N14" i="7"/>
  <c r="H14" i="7"/>
  <c r="M13" i="7"/>
  <c r="N13" i="7"/>
  <c r="H13" i="7"/>
  <c r="M12" i="7"/>
  <c r="N12" i="7"/>
  <c r="H12" i="7"/>
  <c r="M11" i="7"/>
  <c r="N11" i="7"/>
  <c r="H11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M10" i="7"/>
  <c r="O92" i="7"/>
  <c r="H10" i="7"/>
  <c r="O93" i="6"/>
  <c r="O92" i="6"/>
  <c r="E20" i="4"/>
  <c r="M86" i="6"/>
  <c r="M85" i="6"/>
  <c r="M84" i="6"/>
  <c r="M83" i="6"/>
  <c r="M82" i="6"/>
  <c r="M81" i="6"/>
  <c r="M80" i="6"/>
  <c r="M79" i="6"/>
  <c r="M78" i="6"/>
  <c r="M76" i="6"/>
  <c r="M75" i="6"/>
  <c r="M74" i="6"/>
  <c r="M73" i="6"/>
  <c r="M72" i="6"/>
  <c r="M71" i="6"/>
  <c r="M70" i="6"/>
  <c r="M69" i="6"/>
  <c r="M68" i="6"/>
  <c r="M67" i="6"/>
  <c r="M66" i="6"/>
  <c r="H66" i="6"/>
  <c r="M65" i="6"/>
  <c r="H65" i="6"/>
  <c r="M64" i="6"/>
  <c r="H64" i="6"/>
  <c r="M63" i="6"/>
  <c r="H63" i="6"/>
  <c r="M62" i="6"/>
  <c r="H62" i="6"/>
  <c r="M61" i="6"/>
  <c r="H61" i="6"/>
  <c r="M60" i="6"/>
  <c r="H60" i="6"/>
  <c r="M59" i="6"/>
  <c r="H59" i="6"/>
  <c r="M58" i="6"/>
  <c r="H58" i="6"/>
  <c r="M57" i="6"/>
  <c r="H57" i="6"/>
  <c r="M56" i="6"/>
  <c r="H56" i="6"/>
  <c r="M55" i="6"/>
  <c r="H55" i="6"/>
  <c r="M54" i="6"/>
  <c r="H54" i="6"/>
  <c r="M53" i="6"/>
  <c r="H53" i="6"/>
  <c r="M52" i="6"/>
  <c r="H52" i="6"/>
  <c r="M51" i="6"/>
  <c r="H51" i="6"/>
  <c r="M50" i="6"/>
  <c r="H50" i="6"/>
  <c r="M49" i="6"/>
  <c r="H49" i="6"/>
  <c r="M48" i="6"/>
  <c r="H48" i="6"/>
  <c r="M47" i="6"/>
  <c r="H47" i="6"/>
  <c r="M46" i="6"/>
  <c r="H46" i="6"/>
  <c r="M45" i="6"/>
  <c r="H45" i="6"/>
  <c r="M44" i="6"/>
  <c r="H44" i="6"/>
  <c r="M43" i="6"/>
  <c r="H43" i="6"/>
  <c r="M42" i="6"/>
  <c r="H42" i="6"/>
  <c r="M41" i="6"/>
  <c r="M40" i="6"/>
  <c r="H40" i="6"/>
  <c r="M39" i="6"/>
  <c r="H39" i="6"/>
  <c r="M38" i="6"/>
  <c r="M37" i="6"/>
  <c r="H37" i="6"/>
  <c r="M36" i="6"/>
  <c r="H36" i="6"/>
  <c r="M35" i="6"/>
  <c r="H35" i="6"/>
  <c r="M34" i="6"/>
  <c r="H34" i="6"/>
  <c r="M33" i="6"/>
  <c r="H33" i="6"/>
  <c r="N32" i="6"/>
  <c r="M32" i="6"/>
  <c r="H32" i="6"/>
  <c r="M31" i="6"/>
  <c r="H31" i="6"/>
  <c r="N30" i="6"/>
  <c r="M30" i="6"/>
  <c r="H30" i="6"/>
  <c r="M29" i="6"/>
  <c r="H29" i="6"/>
  <c r="M28" i="6"/>
  <c r="H28" i="6"/>
  <c r="M27" i="6"/>
  <c r="H27" i="6"/>
  <c r="M26" i="6"/>
  <c r="H26" i="6"/>
  <c r="M25" i="6"/>
  <c r="H25" i="6"/>
  <c r="M24" i="6"/>
  <c r="H24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M23" i="6"/>
  <c r="H23" i="6"/>
  <c r="N22" i="6"/>
  <c r="M22" i="6"/>
  <c r="H22" i="6"/>
  <c r="M21" i="6"/>
  <c r="H21" i="6"/>
  <c r="M20" i="6"/>
  <c r="H20" i="6"/>
  <c r="N19" i="6"/>
  <c r="M19" i="6"/>
  <c r="H19" i="6"/>
  <c r="M18" i="6"/>
  <c r="H18" i="6"/>
  <c r="N17" i="6"/>
  <c r="M17" i="6"/>
  <c r="H17" i="6"/>
  <c r="N16" i="6"/>
  <c r="M16" i="6"/>
  <c r="H16" i="6"/>
  <c r="M15" i="6"/>
  <c r="H15" i="6"/>
  <c r="M14" i="6"/>
  <c r="H14" i="6"/>
  <c r="M13" i="6"/>
  <c r="H13" i="6"/>
  <c r="M12" i="6"/>
  <c r="H12" i="6"/>
  <c r="N11" i="6"/>
  <c r="O91" i="6"/>
  <c r="D20" i="4"/>
  <c r="M11" i="6"/>
  <c r="H11" i="6"/>
  <c r="A11" i="6"/>
  <c r="A12" i="6"/>
  <c r="A13" i="6"/>
  <c r="A14" i="6"/>
  <c r="A15" i="6"/>
  <c r="A16" i="6"/>
  <c r="A17" i="6"/>
  <c r="A18" i="6"/>
  <c r="A19" i="6"/>
  <c r="A20" i="6"/>
  <c r="A21" i="6"/>
  <c r="A22" i="6"/>
  <c r="M10" i="6"/>
  <c r="O90" i="6"/>
  <c r="H10" i="6"/>
  <c r="O94" i="5"/>
  <c r="O93" i="5"/>
  <c r="E19" i="4"/>
  <c r="E32" i="4"/>
  <c r="O92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M10" i="5"/>
  <c r="O91" i="5"/>
  <c r="F32" i="4"/>
  <c r="O92" i="10"/>
  <c r="N10" i="7"/>
  <c r="O93" i="7"/>
  <c r="O97" i="8"/>
  <c r="D22" i="4"/>
  <c r="D32" i="4"/>
</calcChain>
</file>

<file path=xl/sharedStrings.xml><?xml version="1.0" encoding="utf-8"?>
<sst xmlns="http://schemas.openxmlformats.org/spreadsheetml/2006/main" count="1933" uniqueCount="283">
  <si>
    <t>U. S. STAMP INVENTORY</t>
  </si>
  <si>
    <t>COIL LINE PAIRS/PNC'S</t>
  </si>
  <si>
    <t>SUMMARY TOTALS</t>
  </si>
  <si>
    <t>KEN PATAKY</t>
  </si>
  <si>
    <t>SHEET</t>
  </si>
  <si>
    <t>FACE</t>
  </si>
  <si>
    <t>AMOUNT</t>
  </si>
  <si>
    <t>CATALOG</t>
  </si>
  <si>
    <t># OF</t>
  </si>
  <si>
    <t>NAME</t>
  </si>
  <si>
    <t>VALUE</t>
  </si>
  <si>
    <t>PAID</t>
  </si>
  <si>
    <t>PRS/PNC'S</t>
  </si>
  <si>
    <t>STAMPS</t>
  </si>
  <si>
    <t>TOTALS</t>
  </si>
  <si>
    <t>PAGE 1 OF 1</t>
  </si>
  <si>
    <t>U.S. STAMP INVENTORY</t>
  </si>
  <si>
    <t>COIL LINE  PAIRS/PNC'S</t>
  </si>
  <si>
    <t>REGULAR POSTAGE ISSUES</t>
  </si>
  <si>
    <t xml:space="preserve">  ITEM</t>
  </si>
  <si>
    <t xml:space="preserve">           SCOTT NO.</t>
  </si>
  <si>
    <t>DENOM</t>
  </si>
  <si>
    <t>DESCRIPTION</t>
  </si>
  <si>
    <t>ISSUE</t>
  </si>
  <si>
    <t>STMP</t>
  </si>
  <si>
    <t>FMT</t>
  </si>
  <si>
    <t xml:space="preserve">PLATE </t>
  </si>
  <si>
    <t>NOTES</t>
  </si>
  <si>
    <t>AMT</t>
  </si>
  <si>
    <t>CAT</t>
  </si>
  <si>
    <t>PFX</t>
  </si>
  <si>
    <t>BASE</t>
  </si>
  <si>
    <t>SFX</t>
  </si>
  <si>
    <t>DATE</t>
  </si>
  <si>
    <t>QTY</t>
  </si>
  <si>
    <t>NUMBER</t>
  </si>
  <si>
    <t xml:space="preserve"> </t>
  </si>
  <si>
    <t>314A</t>
  </si>
  <si>
    <t>A</t>
  </si>
  <si>
    <t>N/A</t>
  </si>
  <si>
    <t>B</t>
  </si>
  <si>
    <t>FRANKLIN</t>
  </si>
  <si>
    <t>1910</t>
  </si>
  <si>
    <t>WASHINGTON</t>
  </si>
  <si>
    <t>1912</t>
  </si>
  <si>
    <t>VF-XF NH</t>
  </si>
  <si>
    <t>1914</t>
  </si>
  <si>
    <t>F/VF NH</t>
  </si>
  <si>
    <t>1916</t>
  </si>
  <si>
    <t>VF NH</t>
  </si>
  <si>
    <t>1917</t>
  </si>
  <si>
    <t>1918</t>
  </si>
  <si>
    <t>1919</t>
  </si>
  <si>
    <t>1922</t>
  </si>
  <si>
    <t>1923</t>
  </si>
  <si>
    <t>HARDING</t>
  </si>
  <si>
    <t>1925</t>
  </si>
  <si>
    <t>599A</t>
  </si>
  <si>
    <t>1929</t>
  </si>
  <si>
    <t>LINCOLN</t>
  </si>
  <si>
    <t>1924</t>
  </si>
  <si>
    <t>M. WASHINGTON</t>
  </si>
  <si>
    <t>ROOSEVELT</t>
  </si>
  <si>
    <t>MONROE</t>
  </si>
  <si>
    <t>ELECTRIC LIGHT GOLDEN JUBILEE</t>
  </si>
  <si>
    <t>1930</t>
  </si>
  <si>
    <t>TAFT</t>
  </si>
  <si>
    <t>1932</t>
  </si>
  <si>
    <t>GARFIELD</t>
  </si>
  <si>
    <t>NOTES:</t>
  </si>
  <si>
    <t>1) ALL STAMPS ARE M-NH-OG UNLESS NOTED OTHERWISE.</t>
  </si>
  <si>
    <t>2) CONDITION IS F-VF OR BETTER.</t>
  </si>
  <si>
    <t>TOTAL FACE VALUE:</t>
  </si>
  <si>
    <t>FORMAT(FMT) CODE:</t>
  </si>
  <si>
    <t>TOTAL AMOUNT PAID:</t>
  </si>
  <si>
    <t>A. STAMPS HORIZONTAL; PERFORATIONS VERTICAL</t>
  </si>
  <si>
    <t>TOTAL CATALOGUE VALUE:</t>
  </si>
  <si>
    <t>B. STAMPS VERTICAL; PERFORATIONS HORIZONTAL</t>
  </si>
  <si>
    <t>TOTAL NUMBER OF STAMPS:</t>
  </si>
  <si>
    <t>1938 PRESIDENTIAL</t>
  </si>
  <si>
    <t>LIBERTY ISSUE</t>
  </si>
  <si>
    <t>SMALL HOLES-DRY PRINTING</t>
  </si>
  <si>
    <t>1054A</t>
  </si>
  <si>
    <t>SMALL HOLES-DRY PRINYING</t>
  </si>
  <si>
    <t>LARGE HOLES-DRY PRINTING</t>
  </si>
  <si>
    <t>1059A</t>
  </si>
  <si>
    <t>b.</t>
  </si>
  <si>
    <t>TAGGED-SHINY GUM</t>
  </si>
  <si>
    <t>a.</t>
  </si>
  <si>
    <t>JACKSON</t>
  </si>
  <si>
    <t>TAGGED</t>
  </si>
  <si>
    <t>UNTAGGED</t>
  </si>
  <si>
    <t>PARKMAN</t>
  </si>
  <si>
    <t>JEFFERSON</t>
  </si>
  <si>
    <t>1304C</t>
  </si>
  <si>
    <t>1981</t>
  </si>
  <si>
    <t>1305E</t>
  </si>
  <si>
    <t>HOLMES</t>
  </si>
  <si>
    <t>TYPE I-TAGGED-SHINY GUM</t>
  </si>
  <si>
    <t>i.</t>
  </si>
  <si>
    <t>1978</t>
  </si>
  <si>
    <t>TYPE II-TAGGED-DULL GUM</t>
  </si>
  <si>
    <t>1305C</t>
  </si>
  <si>
    <t>O'NEILL</t>
  </si>
  <si>
    <t>1338A</t>
  </si>
  <si>
    <t>FLAG AND WHITE HOUSE</t>
  </si>
  <si>
    <t>HUCK PRESS</t>
  </si>
  <si>
    <t>1338G</t>
  </si>
  <si>
    <t>EISENHOWER</t>
  </si>
  <si>
    <t>BELL</t>
  </si>
  <si>
    <t>50 &amp; 13 STAR FLAG</t>
  </si>
  <si>
    <t>JEFFERSON MEMORIAL</t>
  </si>
  <si>
    <t>GUITAR</t>
  </si>
  <si>
    <t>SAXHORNS</t>
  </si>
  <si>
    <t>DRUM</t>
  </si>
  <si>
    <t>1615C</t>
  </si>
  <si>
    <t>PIANO</t>
  </si>
  <si>
    <t>CAPITOL</t>
  </si>
  <si>
    <t>CONTEMPLATION OF JUSTICE</t>
  </si>
  <si>
    <t>LIBERTY BELL</t>
  </si>
  <si>
    <t>1618C</t>
  </si>
  <si>
    <t>FORT McHENRY FLAG</t>
  </si>
  <si>
    <t>TAGGED-NOT A LINE PAIR</t>
  </si>
  <si>
    <t>STATUE OF LIBERTY</t>
  </si>
  <si>
    <t>FLAG AND INDEPENDENCE HALL</t>
  </si>
  <si>
    <t>"A" STAMP</t>
  </si>
  <si>
    <t>QUILL AND INKWELL</t>
  </si>
  <si>
    <t>SHINY GUM</t>
  </si>
  <si>
    <t>VIOLINS</t>
  </si>
  <si>
    <t>LIBERTY TORCH</t>
  </si>
  <si>
    <t>"B" STAMP</t>
  </si>
  <si>
    <t>FLAG AND ANTHEM</t>
  </si>
  <si>
    <t>FLAG AND SUPREME COURT</t>
  </si>
  <si>
    <t>*HUCK PRESS PRINTINGS-VALUES ARE FOR PAIRS ALTHOUGH LINE OR PARTIAL LINE APPEARS ON STAMPS.</t>
  </si>
  <si>
    <t>TRANSPORTATION SERIES</t>
  </si>
  <si>
    <t>LINE W/ PLATE NUMBER</t>
  </si>
  <si>
    <t>1897A</t>
  </si>
  <si>
    <t>1898A</t>
  </si>
  <si>
    <t>1991</t>
  </si>
  <si>
    <t>"C" STAMP</t>
  </si>
  <si>
    <t>CONSUMER EDUCATION</t>
  </si>
  <si>
    <t>"D" STAMP</t>
  </si>
  <si>
    <t>FLAG AND CAPITOL</t>
  </si>
  <si>
    <t>T1</t>
  </si>
  <si>
    <t>TYPE II-BLOCK TAGGING</t>
  </si>
  <si>
    <t>OVERALL TAGGED</t>
  </si>
  <si>
    <t>WASHINGTON, WASHINGTON MONUMENT</t>
  </si>
  <si>
    <t>SEALED ENVELOPES</t>
  </si>
  <si>
    <t>BLOCK TAGGED</t>
  </si>
  <si>
    <t>PRECANCEL</t>
  </si>
  <si>
    <t>SHINY GUM-WHITE PAPER</t>
  </si>
  <si>
    <t>BLOCK TAGGING</t>
  </si>
  <si>
    <t>OVERALL TAGGING/PREPHOSPHORED PAPER</t>
  </si>
  <si>
    <t>"E" STAMP</t>
  </si>
  <si>
    <t>FLAG OVER YOSEMITE</t>
  </si>
  <si>
    <t>PREPHOSPHORED PAPER</t>
  </si>
  <si>
    <t>HONEYBEE</t>
  </si>
  <si>
    <t>EAGLE AND SHIELD</t>
  </si>
  <si>
    <t>2452B</t>
  </si>
  <si>
    <t>A1</t>
  </si>
  <si>
    <t>2452D</t>
  </si>
  <si>
    <t>S1</t>
  </si>
  <si>
    <t>S11</t>
  </si>
  <si>
    <t>OVERALL TAGGED-DULL GUM</t>
  </si>
  <si>
    <t>OVERALL TAGGED(P'PHOS'D)-SHINY GUM</t>
  </si>
  <si>
    <t>SQUIRREL</t>
  </si>
  <si>
    <t>SELF ADHESIVE</t>
  </si>
  <si>
    <t>RED ROSE</t>
  </si>
  <si>
    <t>c.</t>
  </si>
  <si>
    <t>PINE CONE</t>
  </si>
  <si>
    <t>B1</t>
  </si>
  <si>
    <t>g.</t>
  </si>
  <si>
    <t>PINK ROSE</t>
  </si>
  <si>
    <t>S111</t>
  </si>
  <si>
    <t>PEACH AND PEAR</t>
  </si>
  <si>
    <t>V11111</t>
  </si>
  <si>
    <t>"F" STAMP</t>
  </si>
  <si>
    <t>FLAG OVER MT. RUSHMORE</t>
  </si>
  <si>
    <t>2523A</t>
  </si>
  <si>
    <t>A11111</t>
  </si>
  <si>
    <t>TULIP</t>
  </si>
  <si>
    <t>S1111</t>
  </si>
  <si>
    <t>ROULETTED PERFS</t>
  </si>
  <si>
    <t>S2222</t>
  </si>
  <si>
    <t>REGULAR PERFS</t>
  </si>
  <si>
    <t>FISHING BOAT</t>
  </si>
  <si>
    <t>A1212</t>
  </si>
  <si>
    <t>1993</t>
  </si>
  <si>
    <t>A5556</t>
  </si>
  <si>
    <t>TYPE II</t>
  </si>
  <si>
    <t>2529C</t>
  </si>
  <si>
    <t>ONE ROPE ON PILING</t>
  </si>
  <si>
    <t>EAGLE &amp; SHIELD-BROWN</t>
  </si>
  <si>
    <t>EAGLE &amp; SHIELD-GREEN</t>
  </si>
  <si>
    <t>EAGLE &amp; SHIELD-RED</t>
  </si>
  <si>
    <t>EAGLE</t>
  </si>
  <si>
    <t>D111</t>
  </si>
  <si>
    <t>EAGLE &amp; SHIELD</t>
  </si>
  <si>
    <t>A11112</t>
  </si>
  <si>
    <t>S11111</t>
  </si>
  <si>
    <t>S22222</t>
  </si>
  <si>
    <t>PRECANCEL-BACKSTAMPED</t>
  </si>
  <si>
    <t>FLAG</t>
  </si>
  <si>
    <t>A111</t>
  </si>
  <si>
    <t>"USA"</t>
  </si>
  <si>
    <t>A1111</t>
  </si>
  <si>
    <t>FLAG OVER WHITE HOUSE</t>
  </si>
  <si>
    <t>2799-2802</t>
  </si>
  <si>
    <t>CHRISTMAS</t>
  </si>
  <si>
    <t>V1111111</t>
  </si>
  <si>
    <t>SUNRISE LOVE</t>
  </si>
  <si>
    <t>V1111</t>
  </si>
  <si>
    <t>G STAMP</t>
  </si>
  <si>
    <t>A5427</t>
  </si>
  <si>
    <t>ROULETTED</t>
  </si>
  <si>
    <t>A21111</t>
  </si>
  <si>
    <t>NON-PROFIT-BUTTE</t>
  </si>
  <si>
    <t>BACK-STAMPED</t>
  </si>
  <si>
    <t>2902B</t>
  </si>
  <si>
    <t>NON-PROFIT-MOUNTAIN</t>
  </si>
  <si>
    <t>2904A</t>
  </si>
  <si>
    <t>V333333</t>
  </si>
  <si>
    <t>2904B</t>
  </si>
  <si>
    <t>1997</t>
  </si>
  <si>
    <t>BULK RATE-AUTO</t>
  </si>
  <si>
    <t>BULK RATE-EAGLE &amp; SHIELD</t>
  </si>
  <si>
    <t>FIRST CLASS CARD-AUTO TAIL FIN</t>
  </si>
  <si>
    <t>PRESORTED FIRST CLASS-JUKE BOX</t>
  </si>
  <si>
    <t>2912A</t>
  </si>
  <si>
    <t>2912B</t>
  </si>
  <si>
    <t>FLAG OVER PORCH</t>
  </si>
  <si>
    <t>2915A</t>
  </si>
  <si>
    <t>2915B</t>
  </si>
  <si>
    <t>2915C</t>
  </si>
  <si>
    <t>2915D</t>
  </si>
  <si>
    <t>3014-17</t>
  </si>
  <si>
    <t>MIDNIGHT ANGEL</t>
  </si>
  <si>
    <t>B1111</t>
  </si>
  <si>
    <t>FAUNA AND FLORA</t>
  </si>
  <si>
    <t>1996</t>
  </si>
  <si>
    <t>1999</t>
  </si>
  <si>
    <t>BLUE JAY</t>
  </si>
  <si>
    <t>YELLOW ROSE</t>
  </si>
  <si>
    <t>PHEASANT</t>
  </si>
  <si>
    <t>1998</t>
  </si>
  <si>
    <t>M11111</t>
  </si>
  <si>
    <t>PRESORTED FIRST CLASS-DINER</t>
  </si>
  <si>
    <t>3208A</t>
  </si>
  <si>
    <t>PRESORTED STD-BICYCLE</t>
  </si>
  <si>
    <t>UNCLE SAM</t>
  </si>
  <si>
    <t>"H" STAMP</t>
  </si>
  <si>
    <t>3302-05</t>
  </si>
  <si>
    <t>BERRIES</t>
  </si>
  <si>
    <t>B2222</t>
  </si>
  <si>
    <t>AIR MAIL ISSUES</t>
  </si>
  <si>
    <t>#</t>
  </si>
  <si>
    <t>C</t>
  </si>
  <si>
    <t>DC-4 SKYMASTER</t>
  </si>
  <si>
    <t>SILHOUETTE OF JET AIRLINER</t>
  </si>
  <si>
    <t>JET OVER CAPITOL-TAGGED</t>
  </si>
  <si>
    <t>FIFTY STAR RUNWAY</t>
  </si>
  <si>
    <t>WINGED AIRMAIL ENVELOPE</t>
  </si>
  <si>
    <t>COMPUTER VENDED ISSUES</t>
  </si>
  <si>
    <t>SHIELD AND DRAPED FLAG</t>
  </si>
  <si>
    <t>DULL GUM</t>
  </si>
  <si>
    <t>A11</t>
  </si>
  <si>
    <t>OFFICIAL ISSUES</t>
  </si>
  <si>
    <t>O</t>
  </si>
  <si>
    <t>PRICES FROM 2013 SCOTT'S SPECIALIZED CATALOG OF U.S. STAMPS &amp; COVERS</t>
  </si>
  <si>
    <t>CLP01</t>
  </si>
  <si>
    <t>CLP02</t>
  </si>
  <si>
    <t>CLP03</t>
  </si>
  <si>
    <t>CLP04</t>
  </si>
  <si>
    <t>AM01</t>
  </si>
  <si>
    <t>CV01</t>
  </si>
  <si>
    <t>OI01</t>
  </si>
  <si>
    <t>XF NH</t>
  </si>
  <si>
    <t>XF/SUP NH</t>
  </si>
  <si>
    <t>VF/XF NH</t>
  </si>
  <si>
    <t>NY PUBLIC LIBRARY</t>
  </si>
  <si>
    <t>c</t>
  </si>
  <si>
    <t>2495A</t>
  </si>
  <si>
    <t>CVP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</si>
</sst>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General_)"/>
    <numFmt numFmtId="165" formatCode="&quot;$&quot;#,##0.0000_);\(&quot;$&quot;#,##0.0000\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name val="Helv"/>
    </font>
    <font>
      <b/>
      <sz val="24"/>
      <name val="Helv"/>
    </font>
    <font>
      <b/>
      <sz val="10"/>
      <name val="Tms Rmn"/>
    </font>
    <font>
      <sz val="12"/>
      <name val="Tms Rmn"/>
    </font>
    <font>
      <b/>
      <sz val="12"/>
      <name val="Tms Rmn"/>
    </font>
    <font>
      <b/>
      <sz val="12"/>
      <name val="Helv"/>
    </font>
    <font>
      <b/>
      <sz val="16"/>
      <name val="Tms Rmn"/>
    </font>
    <font>
      <sz val="10"/>
      <name val="Tms Rmn"/>
    </font>
    <font>
      <sz val="11"/>
      <name val="Tms Rmn"/>
    </font>
    <font>
      <sz val="12"/>
      <name val="Times New Roman"/>
      <family val="1"/>
    </font>
    <font>
      <sz val="12"/>
      <color rgb="FFFF0000"/>
      <name val="Tms Rmn"/>
    </font>
    <font>
      <sz val="12"/>
      <color rgb="FFFF0000"/>
      <name val="Helv"/>
    </font>
  </fonts>
  <fills count="6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gray125">
        <fgColor indexed="8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164" fontId="5" fillId="0" borderId="0"/>
  </cellStyleXfs>
  <cellXfs count="141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Alignment="1">
      <alignment horizontal="centerContinuous"/>
    </xf>
    <xf numFmtId="0" fontId="4" fillId="0" borderId="0" xfId="1" quotePrefix="1" applyFont="1" applyAlignment="1">
      <alignment horizontal="center"/>
    </xf>
    <xf numFmtId="0" fontId="4" fillId="0" borderId="0" xfId="1" applyFont="1" applyAlignment="1">
      <alignment horizontal="center"/>
    </xf>
    <xf numFmtId="7" fontId="1" fillId="0" borderId="0" xfId="1" applyNumberFormat="1"/>
    <xf numFmtId="1" fontId="1" fillId="0" borderId="0" xfId="1" applyNumberFormat="1"/>
    <xf numFmtId="0" fontId="1" fillId="0" borderId="0" xfId="1" quotePrefix="1" applyAlignment="1">
      <alignment horizontal="left"/>
    </xf>
    <xf numFmtId="0" fontId="1" fillId="0" borderId="0" xfId="1" applyAlignment="1">
      <alignment horizontal="left"/>
    </xf>
    <xf numFmtId="164" fontId="5" fillId="0" borderId="0" xfId="2"/>
    <xf numFmtId="164" fontId="5" fillId="0" borderId="0" xfId="2" applyAlignment="1" applyProtection="1">
      <alignment horizontal="left"/>
    </xf>
    <xf numFmtId="164" fontId="6" fillId="0" borderId="0" xfId="2" applyFont="1" applyAlignment="1" applyProtection="1">
      <alignment horizontal="centerContinuous"/>
    </xf>
    <xf numFmtId="164" fontId="5" fillId="0" borderId="0" xfId="2" applyAlignment="1">
      <alignment horizontal="centerContinuous"/>
    </xf>
    <xf numFmtId="164" fontId="7" fillId="0" borderId="1" xfId="2" applyFont="1" applyBorder="1" applyAlignment="1" applyProtection="1">
      <alignment horizontal="left"/>
    </xf>
    <xf numFmtId="164" fontId="7" fillId="0" borderId="2" xfId="2" applyFont="1" applyBorder="1"/>
    <xf numFmtId="164" fontId="7" fillId="0" borderId="3" xfId="2" applyFont="1" applyBorder="1" applyAlignment="1" applyProtection="1">
      <alignment horizontal="left"/>
    </xf>
    <xf numFmtId="164" fontId="7" fillId="0" borderId="3" xfId="2" applyFont="1" applyBorder="1"/>
    <xf numFmtId="164" fontId="7" fillId="0" borderId="4" xfId="2" applyFont="1" applyBorder="1"/>
    <xf numFmtId="164" fontId="7" fillId="0" borderId="2" xfId="2" applyFont="1" applyBorder="1" applyAlignment="1" applyProtection="1">
      <alignment horizontal="center"/>
    </xf>
    <xf numFmtId="164" fontId="7" fillId="0" borderId="5" xfId="2" applyFont="1" applyBorder="1"/>
    <xf numFmtId="164" fontId="7" fillId="0" borderId="6" xfId="2" applyFont="1" applyBorder="1"/>
    <xf numFmtId="164" fontId="7" fillId="0" borderId="7" xfId="2" applyFont="1" applyBorder="1" applyAlignment="1" applyProtection="1">
      <alignment horizontal="center"/>
    </xf>
    <xf numFmtId="164" fontId="7" fillId="0" borderId="6" xfId="2" applyFont="1" applyBorder="1" applyAlignment="1" applyProtection="1">
      <alignment horizontal="center"/>
    </xf>
    <xf numFmtId="164" fontId="8" fillId="0" borderId="8" xfId="2" applyFont="1" applyBorder="1" applyProtection="1"/>
    <xf numFmtId="164" fontId="8" fillId="0" borderId="9" xfId="2" applyFont="1" applyBorder="1" applyAlignment="1" applyProtection="1">
      <alignment horizontal="left"/>
    </xf>
    <xf numFmtId="164" fontId="8" fillId="0" borderId="9" xfId="2" applyFont="1" applyBorder="1"/>
    <xf numFmtId="164" fontId="8" fillId="0" borderId="9" xfId="2" applyNumberFormat="1" applyFont="1" applyBorder="1" applyAlignment="1" applyProtection="1">
      <alignment horizontal="right"/>
    </xf>
    <xf numFmtId="165" fontId="8" fillId="0" borderId="9" xfId="2" applyNumberFormat="1" applyFont="1" applyBorder="1" applyProtection="1"/>
    <xf numFmtId="14" fontId="8" fillId="0" borderId="9" xfId="2" applyNumberFormat="1" applyFont="1" applyBorder="1" applyAlignment="1" applyProtection="1">
      <alignment horizontal="center"/>
    </xf>
    <xf numFmtId="164" fontId="8" fillId="0" borderId="9" xfId="2" applyFont="1" applyBorder="1" applyAlignment="1">
      <alignment horizontal="center"/>
    </xf>
    <xf numFmtId="7" fontId="8" fillId="0" borderId="9" xfId="2" applyNumberFormat="1" applyFont="1" applyBorder="1" applyProtection="1"/>
    <xf numFmtId="7" fontId="8" fillId="0" borderId="9" xfId="2" applyNumberFormat="1" applyFont="1" applyBorder="1" applyAlignment="1" applyProtection="1">
      <alignment horizontal="left"/>
    </xf>
    <xf numFmtId="164" fontId="8" fillId="0" borderId="9" xfId="2" applyNumberFormat="1" applyFont="1" applyBorder="1" applyProtection="1"/>
    <xf numFmtId="14" fontId="8" fillId="0" borderId="9" xfId="2" applyNumberFormat="1" applyFont="1" applyBorder="1" applyAlignment="1">
      <alignment horizontal="center"/>
    </xf>
    <xf numFmtId="14" fontId="8" fillId="0" borderId="9" xfId="2" quotePrefix="1" applyNumberFormat="1" applyFont="1" applyBorder="1" applyAlignment="1">
      <alignment horizontal="center"/>
    </xf>
    <xf numFmtId="1" fontId="8" fillId="0" borderId="9" xfId="2" applyNumberFormat="1" applyFont="1" applyBorder="1" applyAlignment="1">
      <alignment horizontal="center"/>
    </xf>
    <xf numFmtId="7" fontId="8" fillId="0" borderId="9" xfId="2" applyNumberFormat="1" applyFont="1" applyBorder="1" applyAlignment="1" applyProtection="1">
      <alignment horizontal="right"/>
    </xf>
    <xf numFmtId="17" fontId="8" fillId="0" borderId="9" xfId="2" quotePrefix="1" applyNumberFormat="1" applyFont="1" applyBorder="1" applyAlignment="1">
      <alignment horizontal="center"/>
    </xf>
    <xf numFmtId="164" fontId="8" fillId="0" borderId="9" xfId="2" quotePrefix="1" applyFont="1" applyBorder="1" applyAlignment="1">
      <alignment horizontal="left"/>
    </xf>
    <xf numFmtId="164" fontId="8" fillId="0" borderId="10" xfId="2" applyFont="1" applyBorder="1"/>
    <xf numFmtId="164" fontId="9" fillId="0" borderId="11" xfId="2" applyFont="1" applyBorder="1"/>
    <xf numFmtId="164" fontId="8" fillId="0" borderId="11" xfId="2" applyFont="1" applyBorder="1"/>
    <xf numFmtId="165" fontId="8" fillId="0" borderId="11" xfId="2" applyNumberFormat="1" applyFont="1" applyBorder="1" applyProtection="1"/>
    <xf numFmtId="7" fontId="8" fillId="0" borderId="11" xfId="2" applyNumberFormat="1" applyFont="1" applyBorder="1" applyProtection="1"/>
    <xf numFmtId="164" fontId="8" fillId="0" borderId="12" xfId="2" applyFont="1" applyBorder="1"/>
    <xf numFmtId="164" fontId="8" fillId="2" borderId="0" xfId="2" applyFont="1" applyFill="1"/>
    <xf numFmtId="7" fontId="8" fillId="2" borderId="0" xfId="2" applyNumberFormat="1" applyFont="1" applyFill="1" applyProtection="1"/>
    <xf numFmtId="7" fontId="5" fillId="2" borderId="0" xfId="2" applyNumberFormat="1" applyFill="1" applyProtection="1"/>
    <xf numFmtId="7" fontId="5" fillId="2" borderId="9" xfId="2" applyNumberFormat="1" applyFill="1" applyBorder="1" applyProtection="1"/>
    <xf numFmtId="164" fontId="8" fillId="0" borderId="13" xfId="2" applyFont="1" applyBorder="1"/>
    <xf numFmtId="164" fontId="9" fillId="0" borderId="0" xfId="2" applyFont="1" applyAlignment="1" applyProtection="1">
      <alignment horizontal="left"/>
    </xf>
    <xf numFmtId="164" fontId="8" fillId="0" borderId="0" xfId="2" applyFont="1"/>
    <xf numFmtId="165" fontId="8" fillId="0" borderId="0" xfId="2" applyNumberFormat="1" applyFont="1" applyProtection="1"/>
    <xf numFmtId="7" fontId="8" fillId="0" borderId="0" xfId="2" applyNumberFormat="1" applyFont="1" applyProtection="1"/>
    <xf numFmtId="164" fontId="8" fillId="0" borderId="14" xfId="2" applyFont="1" applyBorder="1"/>
    <xf numFmtId="164" fontId="9" fillId="0" borderId="0" xfId="2" applyFont="1" applyAlignment="1" applyProtection="1">
      <alignment horizontal="centerContinuous"/>
    </xf>
    <xf numFmtId="7" fontId="5" fillId="0" borderId="0" xfId="2" applyNumberFormat="1" applyAlignment="1" applyProtection="1">
      <alignment horizontal="centerContinuous"/>
    </xf>
    <xf numFmtId="7" fontId="5" fillId="0" borderId="9" xfId="2" applyNumberFormat="1" applyBorder="1" applyAlignment="1" applyProtection="1">
      <alignment horizontal="centerContinuous"/>
    </xf>
    <xf numFmtId="164" fontId="7" fillId="0" borderId="0" xfId="2" applyFont="1"/>
    <xf numFmtId="7" fontId="7" fillId="0" borderId="0" xfId="2" applyNumberFormat="1" applyFont="1" applyProtection="1"/>
    <xf numFmtId="164" fontId="5" fillId="3" borderId="15" xfId="2" applyFill="1" applyBorder="1"/>
    <xf numFmtId="7" fontId="5" fillId="3" borderId="15" xfId="2" applyNumberFormat="1" applyFill="1" applyBorder="1" applyProtection="1"/>
    <xf numFmtId="7" fontId="5" fillId="4" borderId="16" xfId="2" applyNumberFormat="1" applyFill="1" applyBorder="1" applyProtection="1"/>
    <xf numFmtId="164" fontId="9" fillId="3" borderId="0" xfId="2" applyFont="1" applyFill="1" applyAlignment="1" applyProtection="1">
      <alignment horizontal="left"/>
    </xf>
    <xf numFmtId="164" fontId="5" fillId="3" borderId="0" xfId="2" applyFill="1"/>
    <xf numFmtId="7" fontId="9" fillId="3" borderId="0" xfId="2" applyNumberFormat="1" applyFont="1" applyFill="1" applyProtection="1"/>
    <xf numFmtId="7" fontId="9" fillId="4" borderId="17" xfId="2" applyNumberFormat="1" applyFont="1" applyFill="1" applyBorder="1" applyProtection="1"/>
    <xf numFmtId="164" fontId="9" fillId="0" borderId="0" xfId="2" applyFont="1"/>
    <xf numFmtId="164" fontId="8" fillId="0" borderId="18" xfId="2" applyFont="1" applyBorder="1"/>
    <xf numFmtId="164" fontId="9" fillId="0" borderId="7" xfId="2" quotePrefix="1" applyFont="1" applyBorder="1" applyAlignment="1">
      <alignment horizontal="left"/>
    </xf>
    <xf numFmtId="164" fontId="8" fillId="0" borderId="7" xfId="2" applyFont="1" applyBorder="1"/>
    <xf numFmtId="165" fontId="8" fillId="0" borderId="7" xfId="2" applyNumberFormat="1" applyFont="1" applyBorder="1" applyProtection="1"/>
    <xf numFmtId="7" fontId="8" fillId="0" borderId="7" xfId="2" applyNumberFormat="1" applyFont="1" applyBorder="1" applyProtection="1"/>
    <xf numFmtId="164" fontId="8" fillId="0" borderId="19" xfId="2" applyFont="1" applyBorder="1"/>
    <xf numFmtId="164" fontId="8" fillId="2" borderId="20" xfId="2" applyFont="1" applyFill="1" applyBorder="1"/>
    <xf numFmtId="164" fontId="9" fillId="3" borderId="0" xfId="2" quotePrefix="1" applyFont="1" applyFill="1" applyAlignment="1" applyProtection="1">
      <alignment horizontal="left"/>
    </xf>
    <xf numFmtId="7" fontId="5" fillId="3" borderId="20" xfId="2" applyNumberFormat="1" applyFill="1" applyBorder="1" applyProtection="1"/>
    <xf numFmtId="164" fontId="10" fillId="4" borderId="21" xfId="2" applyNumberFormat="1" applyFont="1" applyFill="1" applyBorder="1" applyAlignment="1" applyProtection="1">
      <alignment horizontal="left"/>
    </xf>
    <xf numFmtId="164" fontId="5" fillId="0" borderId="22" xfId="2" applyBorder="1"/>
    <xf numFmtId="164" fontId="7" fillId="0" borderId="3" xfId="2" quotePrefix="1" applyFont="1" applyBorder="1" applyAlignment="1" applyProtection="1">
      <alignment horizontal="left"/>
    </xf>
    <xf numFmtId="164" fontId="5" fillId="0" borderId="3" xfId="2" applyBorder="1"/>
    <xf numFmtId="7" fontId="5" fillId="0" borderId="3" xfId="2" applyNumberFormat="1" applyBorder="1" applyProtection="1"/>
    <xf numFmtId="164" fontId="5" fillId="0" borderId="20" xfId="2" applyBorder="1"/>
    <xf numFmtId="7" fontId="5" fillId="0" borderId="4" xfId="2" applyNumberFormat="1" applyBorder="1" applyProtection="1"/>
    <xf numFmtId="7" fontId="8" fillId="0" borderId="9" xfId="2" applyNumberFormat="1" applyFont="1" applyBorder="1" applyAlignment="1" applyProtection="1"/>
    <xf numFmtId="14" fontId="8" fillId="0" borderId="9" xfId="2" quotePrefix="1" applyNumberFormat="1" applyFont="1" applyBorder="1" applyAlignment="1" applyProtection="1">
      <alignment horizontal="center"/>
    </xf>
    <xf numFmtId="164" fontId="8" fillId="0" borderId="9" xfId="2" quotePrefix="1" applyNumberFormat="1" applyFont="1" applyBorder="1" applyAlignment="1" applyProtection="1">
      <alignment horizontal="left"/>
    </xf>
    <xf numFmtId="7" fontId="9" fillId="0" borderId="9" xfId="2" applyNumberFormat="1" applyFont="1" applyBorder="1" applyAlignment="1" applyProtection="1">
      <alignment horizontal="right"/>
    </xf>
    <xf numFmtId="164" fontId="11" fillId="0" borderId="9" xfId="2" quotePrefix="1" applyNumberFormat="1" applyFont="1" applyBorder="1" applyAlignment="1" applyProtection="1">
      <alignment horizontal="left"/>
    </xf>
    <xf numFmtId="164" fontId="8" fillId="0" borderId="0" xfId="2" applyFont="1" applyBorder="1"/>
    <xf numFmtId="164" fontId="9" fillId="0" borderId="9" xfId="2" quotePrefix="1" applyNumberFormat="1" applyFont="1" applyBorder="1" applyAlignment="1" applyProtection="1">
      <alignment horizontal="left"/>
    </xf>
    <xf numFmtId="7" fontId="5" fillId="0" borderId="9" xfId="2" applyNumberFormat="1" applyBorder="1"/>
    <xf numFmtId="164" fontId="8" fillId="0" borderId="9" xfId="2" applyFont="1" applyBorder="1" applyAlignment="1">
      <alignment horizontal="left"/>
    </xf>
    <xf numFmtId="164" fontId="12" fillId="0" borderId="9" xfId="2" quotePrefix="1" applyFont="1" applyBorder="1" applyAlignment="1">
      <alignment horizontal="left"/>
    </xf>
    <xf numFmtId="17" fontId="8" fillId="0" borderId="9" xfId="2" applyNumberFormat="1" applyFont="1" applyBorder="1" applyAlignment="1" applyProtection="1">
      <alignment horizontal="center"/>
    </xf>
    <xf numFmtId="164" fontId="8" fillId="5" borderId="9" xfId="2" applyNumberFormat="1" applyFont="1" applyFill="1" applyBorder="1" applyProtection="1"/>
    <xf numFmtId="7" fontId="8" fillId="5" borderId="9" xfId="2" applyNumberFormat="1" applyFont="1" applyFill="1" applyBorder="1" applyAlignment="1" applyProtection="1"/>
    <xf numFmtId="164" fontId="8" fillId="5" borderId="9" xfId="2" applyNumberFormat="1" applyFont="1" applyFill="1" applyBorder="1" applyAlignment="1" applyProtection="1">
      <alignment horizontal="right"/>
    </xf>
    <xf numFmtId="164" fontId="8" fillId="0" borderId="9" xfId="2" applyNumberFormat="1" applyFont="1" applyBorder="1" applyAlignment="1" applyProtection="1">
      <alignment horizontal="left"/>
    </xf>
    <xf numFmtId="164" fontId="8" fillId="5" borderId="0" xfId="2" applyNumberFormat="1" applyFont="1" applyFill="1" applyBorder="1" applyProtection="1"/>
    <xf numFmtId="165" fontId="9" fillId="0" borderId="0" xfId="2" quotePrefix="1" applyNumberFormat="1" applyFont="1" applyAlignment="1" applyProtection="1">
      <alignment horizontal="left"/>
    </xf>
    <xf numFmtId="164" fontId="8" fillId="0" borderId="9" xfId="2" quotePrefix="1" applyFont="1" applyBorder="1" applyAlignment="1">
      <alignment horizontal="center"/>
    </xf>
    <xf numFmtId="164" fontId="13" fillId="0" borderId="9" xfId="2" applyFont="1" applyBorder="1" applyAlignment="1">
      <alignment horizontal="left"/>
    </xf>
    <xf numFmtId="164" fontId="8" fillId="0" borderId="9" xfId="2" quotePrefix="1" applyNumberFormat="1" applyFont="1" applyBorder="1" applyAlignment="1" applyProtection="1">
      <alignment horizontal="right"/>
    </xf>
    <xf numFmtId="164" fontId="9" fillId="0" borderId="9" xfId="2" applyNumberFormat="1" applyFont="1" applyBorder="1" applyAlignment="1" applyProtection="1">
      <alignment horizontal="left"/>
    </xf>
    <xf numFmtId="164" fontId="8" fillId="5" borderId="0" xfId="2" applyFont="1" applyFill="1" applyBorder="1"/>
    <xf numFmtId="14" fontId="8" fillId="0" borderId="9" xfId="2" applyNumberFormat="1" applyFont="1" applyBorder="1" applyAlignment="1" applyProtection="1">
      <alignment horizontal="left"/>
    </xf>
    <xf numFmtId="164" fontId="8" fillId="0" borderId="9" xfId="2" applyFont="1" applyBorder="1" applyAlignment="1" applyProtection="1">
      <alignment horizontal="center"/>
    </xf>
    <xf numFmtId="165" fontId="8" fillId="0" borderId="9" xfId="2" applyNumberFormat="1" applyFont="1" applyBorder="1" applyAlignment="1" applyProtection="1">
      <alignment horizontal="left"/>
    </xf>
    <xf numFmtId="164" fontId="8" fillId="0" borderId="6" xfId="2" applyFont="1" applyBorder="1"/>
    <xf numFmtId="164" fontId="5" fillId="0" borderId="9" xfId="2" applyBorder="1"/>
    <xf numFmtId="164" fontId="9" fillId="0" borderId="7" xfId="2" applyFont="1" applyBorder="1"/>
    <xf numFmtId="164" fontId="10" fillId="3" borderId="20" xfId="2" applyFont="1" applyFill="1" applyBorder="1"/>
    <xf numFmtId="3" fontId="10" fillId="4" borderId="21" xfId="2" applyNumberFormat="1" applyFont="1" applyFill="1" applyBorder="1" applyAlignment="1" applyProtection="1">
      <alignment horizontal="left"/>
    </xf>
    <xf numFmtId="164" fontId="14" fillId="0" borderId="23" xfId="2" applyFont="1" applyBorder="1"/>
    <xf numFmtId="165" fontId="8" fillId="0" borderId="9" xfId="2" applyNumberFormat="1" applyFont="1" applyBorder="1" applyAlignment="1" applyProtection="1">
      <alignment horizontal="right"/>
    </xf>
    <xf numFmtId="164" fontId="14" fillId="0" borderId="8" xfId="2" applyFont="1" applyBorder="1" applyAlignment="1">
      <alignment horizontal="center"/>
    </xf>
    <xf numFmtId="164" fontId="8" fillId="0" borderId="9" xfId="2" applyNumberFormat="1" applyFont="1" applyBorder="1" applyAlignment="1" applyProtection="1">
      <alignment horizontal="center"/>
    </xf>
    <xf numFmtId="164" fontId="14" fillId="0" borderId="24" xfId="2" applyFont="1" applyBorder="1" applyAlignment="1">
      <alignment horizontal="center"/>
    </xf>
    <xf numFmtId="14" fontId="14" fillId="0" borderId="9" xfId="2" applyNumberFormat="1" applyFont="1" applyBorder="1" applyAlignment="1" applyProtection="1">
      <alignment horizontal="center"/>
    </xf>
    <xf numFmtId="164" fontId="8" fillId="0" borderId="9" xfId="2" applyFont="1" applyBorder="1" applyProtection="1"/>
    <xf numFmtId="164" fontId="15" fillId="0" borderId="8" xfId="2" applyFont="1" applyBorder="1" applyProtection="1"/>
    <xf numFmtId="164" fontId="15" fillId="0" borderId="9" xfId="2" applyFont="1" applyBorder="1" applyAlignment="1" applyProtection="1">
      <alignment horizontal="left"/>
    </xf>
    <xf numFmtId="164" fontId="15" fillId="0" borderId="9" xfId="2" applyFont="1" applyBorder="1"/>
    <xf numFmtId="164" fontId="15" fillId="0" borderId="9" xfId="2" applyNumberFormat="1" applyFont="1" applyBorder="1" applyAlignment="1" applyProtection="1">
      <alignment horizontal="right"/>
    </xf>
    <xf numFmtId="165" fontId="15" fillId="0" borderId="9" xfId="2" applyNumberFormat="1" applyFont="1" applyBorder="1" applyProtection="1"/>
    <xf numFmtId="164" fontId="15" fillId="0" borderId="9" xfId="2" applyFont="1" applyBorder="1" applyAlignment="1">
      <alignment horizontal="left"/>
    </xf>
    <xf numFmtId="14" fontId="15" fillId="0" borderId="9" xfId="2" applyNumberFormat="1" applyFont="1" applyBorder="1" applyAlignment="1" applyProtection="1">
      <alignment horizontal="center"/>
    </xf>
    <xf numFmtId="164" fontId="15" fillId="0" borderId="9" xfId="2" applyFont="1" applyBorder="1" applyAlignment="1">
      <alignment horizontal="center"/>
    </xf>
    <xf numFmtId="7" fontId="15" fillId="0" borderId="9" xfId="2" applyNumberFormat="1" applyFont="1" applyBorder="1" applyProtection="1"/>
    <xf numFmtId="7" fontId="15" fillId="0" borderId="9" xfId="2" applyNumberFormat="1" applyFont="1" applyBorder="1" applyAlignment="1" applyProtection="1"/>
    <xf numFmtId="164" fontId="16" fillId="0" borderId="0" xfId="2" applyFont="1"/>
    <xf numFmtId="164" fontId="15" fillId="0" borderId="9" xfId="2" applyNumberFormat="1" applyFont="1" applyBorder="1" applyProtection="1"/>
    <xf numFmtId="164" fontId="15" fillId="0" borderId="9" xfId="2" quotePrefix="1" applyFont="1" applyBorder="1" applyAlignment="1">
      <alignment horizontal="left"/>
    </xf>
    <xf numFmtId="164" fontId="5" fillId="0" borderId="0" xfId="2" applyFont="1"/>
    <xf numFmtId="14" fontId="15" fillId="0" borderId="9" xfId="2" quotePrefix="1" applyNumberFormat="1" applyFont="1" applyBorder="1" applyAlignment="1">
      <alignment horizontal="center"/>
    </xf>
    <xf numFmtId="165" fontId="15" fillId="0" borderId="9" xfId="2" applyNumberFormat="1" applyFont="1" applyBorder="1" applyAlignment="1" applyProtection="1"/>
    <xf numFmtId="7" fontId="15" fillId="0" borderId="9" xfId="2" applyNumberFormat="1" applyFont="1" applyBorder="1" applyAlignment="1" applyProtection="1">
      <alignment horizontal="right"/>
    </xf>
    <xf numFmtId="1" fontId="15" fillId="0" borderId="9" xfId="2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75"/>
  <sheetViews>
    <sheetView showGridLines="0" workbookViewId="0"/>
  </sheetViews>
  <sheetFormatPr defaultRowHeight="12.75" x14ac:dyDescent="0.2"/>
  <cols>
    <col min="1" max="1" width="11.7109375" style="3" customWidth="1"/>
    <col min="2" max="2" width="10.28515625" style="3" customWidth="1"/>
    <col min="3" max="7" width="10.7109375" style="3" customWidth="1"/>
    <col min="8" max="16384" width="9.140625" style="3"/>
  </cols>
  <sheetData>
    <row r="3" spans="2:7" ht="35.25" x14ac:dyDescent="0.5">
      <c r="B3" s="1" t="s">
        <v>0</v>
      </c>
      <c r="C3" s="2"/>
      <c r="D3" s="2"/>
      <c r="E3" s="2"/>
      <c r="F3" s="2"/>
      <c r="G3" s="2"/>
    </row>
    <row r="4" spans="2:7" ht="26.25" x14ac:dyDescent="0.4">
      <c r="B4" s="4" t="s">
        <v>1</v>
      </c>
      <c r="C4" s="2"/>
      <c r="D4" s="2"/>
      <c r="E4" s="2"/>
      <c r="F4" s="2"/>
      <c r="G4" s="2"/>
    </row>
    <row r="5" spans="2:7" ht="26.25" x14ac:dyDescent="0.4">
      <c r="B5" s="4" t="s">
        <v>2</v>
      </c>
      <c r="C5" s="2"/>
      <c r="D5" s="2"/>
      <c r="E5" s="2"/>
      <c r="F5" s="2"/>
      <c r="G5" s="2"/>
    </row>
    <row r="7" spans="2:7" x14ac:dyDescent="0.2">
      <c r="B7" s="2" t="s">
        <v>3</v>
      </c>
      <c r="C7" s="2"/>
      <c r="D7" s="2"/>
      <c r="E7" s="2"/>
      <c r="F7" s="2"/>
      <c r="G7" s="2"/>
    </row>
    <row r="8" spans="2:7" x14ac:dyDescent="0.2">
      <c r="B8" s="2"/>
      <c r="C8" s="2"/>
      <c r="D8" s="2"/>
      <c r="E8" s="2"/>
      <c r="F8" s="2"/>
      <c r="G8" s="2"/>
    </row>
    <row r="9" spans="2:7" x14ac:dyDescent="0.2">
      <c r="B9" s="2"/>
      <c r="C9" s="2"/>
      <c r="D9" s="2"/>
      <c r="E9" s="2"/>
      <c r="F9" s="2"/>
      <c r="G9" s="2"/>
    </row>
    <row r="10" spans="2:7" x14ac:dyDescent="0.2">
      <c r="B10" s="2"/>
      <c r="C10" s="2"/>
      <c r="D10" s="2"/>
      <c r="E10" s="2"/>
      <c r="F10" s="2"/>
      <c r="G10" s="2"/>
    </row>
    <row r="11" spans="2:7" x14ac:dyDescent="0.2">
      <c r="B11" s="2"/>
      <c r="C11" s="2"/>
      <c r="D11" s="2"/>
      <c r="E11" s="2"/>
      <c r="F11" s="2"/>
      <c r="G11" s="2"/>
    </row>
    <row r="12" spans="2:7" x14ac:dyDescent="0.2">
      <c r="B12" s="2"/>
      <c r="C12" s="2"/>
      <c r="D12" s="2"/>
      <c r="E12" s="2"/>
      <c r="F12" s="2"/>
      <c r="G12" s="2"/>
    </row>
    <row r="13" spans="2:7" x14ac:dyDescent="0.2">
      <c r="B13" s="2"/>
      <c r="C13" s="2"/>
      <c r="D13" s="2"/>
      <c r="E13" s="2"/>
      <c r="F13" s="2"/>
      <c r="G13" s="2"/>
    </row>
    <row r="14" spans="2:7" x14ac:dyDescent="0.2">
      <c r="B14" s="2"/>
      <c r="C14" s="2"/>
      <c r="D14" s="2"/>
      <c r="E14" s="2"/>
      <c r="F14" s="2"/>
      <c r="G14" s="2"/>
    </row>
    <row r="16" spans="2:7" x14ac:dyDescent="0.2">
      <c r="B16" s="5" t="s">
        <v>4</v>
      </c>
      <c r="C16" s="6" t="s">
        <v>5</v>
      </c>
      <c r="D16" s="6" t="s">
        <v>6</v>
      </c>
      <c r="E16" s="6" t="s">
        <v>7</v>
      </c>
      <c r="F16" s="6" t="s">
        <v>8</v>
      </c>
      <c r="G16" s="6" t="s">
        <v>8</v>
      </c>
    </row>
    <row r="17" spans="2:7" x14ac:dyDescent="0.2">
      <c r="B17" s="6" t="s">
        <v>9</v>
      </c>
      <c r="C17" s="6" t="s">
        <v>10</v>
      </c>
      <c r="D17" s="6" t="s">
        <v>11</v>
      </c>
      <c r="E17" s="6" t="s">
        <v>10</v>
      </c>
      <c r="F17" s="6" t="s">
        <v>12</v>
      </c>
      <c r="G17" s="6" t="s">
        <v>13</v>
      </c>
    </row>
    <row r="19" spans="2:7" x14ac:dyDescent="0.2">
      <c r="B19" s="3" t="s">
        <v>269</v>
      </c>
      <c r="C19" s="7">
        <f>+'CLP01'!O91</f>
        <v>1.8800000000000008</v>
      </c>
      <c r="D19" s="7">
        <f>+'CLP01'!O92</f>
        <v>1594.25</v>
      </c>
      <c r="E19" s="7">
        <f>+'CLP01'!O93</f>
        <v>3745.2</v>
      </c>
      <c r="F19" s="8">
        <f>COUNTIF('CLP01'!I10:I87,"&gt;0")</f>
        <v>33</v>
      </c>
      <c r="G19" s="8">
        <f>+'CLP01'!O94</f>
        <v>65</v>
      </c>
    </row>
    <row r="20" spans="2:7" x14ac:dyDescent="0.2">
      <c r="B20" s="9" t="s">
        <v>270</v>
      </c>
      <c r="C20" s="7">
        <f>+'CLP02'!O90</f>
        <v>10.353000000000003</v>
      </c>
      <c r="D20" s="7">
        <f>+'CLP02'!O91</f>
        <v>118.73</v>
      </c>
      <c r="E20" s="7">
        <f>+'CLP02'!O92</f>
        <v>226.95</v>
      </c>
      <c r="F20" s="8">
        <f>COUNTIF('CLP02'!I10:I87,"&gt;0")</f>
        <v>57</v>
      </c>
      <c r="G20" s="8">
        <f>+'CLP02'!O93</f>
        <v>116</v>
      </c>
    </row>
    <row r="21" spans="2:7" x14ac:dyDescent="0.2">
      <c r="B21" s="9" t="s">
        <v>271</v>
      </c>
      <c r="C21" s="7">
        <f>+'CLP03'!O92</f>
        <v>44.70999999999998</v>
      </c>
      <c r="D21" s="7">
        <f>+'CLP03'!O93</f>
        <v>45.20999999999998</v>
      </c>
      <c r="E21" s="7">
        <f>+'CLP03'!O94</f>
        <v>265.85000000000002</v>
      </c>
      <c r="F21" s="8">
        <f>COUNTIF('CLP03'!I10:I88,"&gt;0")</f>
        <v>79</v>
      </c>
      <c r="G21" s="8">
        <f>+'CLP03'!O95</f>
        <v>278</v>
      </c>
    </row>
    <row r="22" spans="2:7" x14ac:dyDescent="0.2">
      <c r="B22" s="9" t="s">
        <v>272</v>
      </c>
      <c r="C22" s="7">
        <f>+'CLP04'!O96</f>
        <v>89.600000000000009</v>
      </c>
      <c r="D22" s="7">
        <f>+'CLP04'!O97</f>
        <v>89.600000000000009</v>
      </c>
      <c r="E22" s="7">
        <f>+'CLP04'!O98</f>
        <v>414.55</v>
      </c>
      <c r="F22" s="8">
        <f>COUNTIF('CLP04'!I10:I92,"&gt;0")</f>
        <v>83</v>
      </c>
      <c r="G22" s="8">
        <f>+'CLP04'!O99</f>
        <v>384</v>
      </c>
    </row>
    <row r="23" spans="2:7" x14ac:dyDescent="0.2">
      <c r="B23" s="10" t="s">
        <v>273</v>
      </c>
      <c r="C23" s="7">
        <f>+'AM01'!O90</f>
        <v>1.34</v>
      </c>
      <c r="D23" s="7">
        <f>+'AM01'!O91</f>
        <v>64</v>
      </c>
      <c r="E23" s="7">
        <f>+'AM01'!O92</f>
        <v>78.449999999999989</v>
      </c>
      <c r="F23" s="8">
        <f>COUNTIF('AM01'!I10:I87,"&gt;0")</f>
        <v>8</v>
      </c>
      <c r="G23" s="8">
        <f>+'AM01'!O93</f>
        <v>16</v>
      </c>
    </row>
    <row r="24" spans="2:7" x14ac:dyDescent="0.2">
      <c r="B24" s="10" t="s">
        <v>274</v>
      </c>
      <c r="C24" s="7">
        <f>+'CV01'!O91</f>
        <v>4.7899999999999991</v>
      </c>
      <c r="D24" s="7">
        <f>+'CV01'!O92</f>
        <v>4.7899999999999991</v>
      </c>
      <c r="E24" s="7">
        <f>+'CV01'!O93</f>
        <v>34</v>
      </c>
      <c r="F24" s="8">
        <f>COUNTIF('CV01'!I10:I87,"&gt;0")</f>
        <v>4</v>
      </c>
      <c r="G24" s="8">
        <f>+'CV01'!O94</f>
        <v>16</v>
      </c>
    </row>
    <row r="25" spans="2:7" x14ac:dyDescent="0.2">
      <c r="B25" s="10" t="s">
        <v>275</v>
      </c>
      <c r="C25" s="7">
        <f>+'OI01'!O90</f>
        <v>1.2600000000000002</v>
      </c>
      <c r="D25" s="7">
        <f>+'OI01'!O91</f>
        <v>1.26</v>
      </c>
      <c r="E25" s="7">
        <f>+'OI01'!O92</f>
        <v>39.5</v>
      </c>
      <c r="F25" s="8">
        <f>COUNTIF('OI01'!I10:I87,"&gt;0")</f>
        <v>2</v>
      </c>
      <c r="G25" s="8">
        <f>+'OI01'!O93</f>
        <v>6</v>
      </c>
    </row>
    <row r="26" spans="2:7" x14ac:dyDescent="0.2">
      <c r="B26" s="9"/>
      <c r="C26" s="9"/>
      <c r="D26" s="9"/>
      <c r="E26" s="9"/>
      <c r="F26" s="9"/>
      <c r="G26" s="9"/>
    </row>
    <row r="27" spans="2:7" x14ac:dyDescent="0.2">
      <c r="B27" s="9"/>
      <c r="C27" s="9"/>
      <c r="D27" s="9"/>
      <c r="E27" s="9"/>
      <c r="F27" s="9"/>
      <c r="G27" s="9"/>
    </row>
    <row r="28" spans="2:7" x14ac:dyDescent="0.2">
      <c r="B28" s="9"/>
      <c r="C28" s="9"/>
      <c r="D28" s="9"/>
      <c r="E28" s="9"/>
      <c r="F28" s="9"/>
      <c r="G28" s="9"/>
    </row>
    <row r="29" spans="2:7" x14ac:dyDescent="0.2">
      <c r="B29" s="9"/>
      <c r="C29" s="9"/>
      <c r="D29" s="9"/>
      <c r="E29" s="9"/>
      <c r="F29" s="9"/>
      <c r="G29" s="9"/>
    </row>
    <row r="30" spans="2:7" x14ac:dyDescent="0.2">
      <c r="C30" s="7"/>
      <c r="D30" s="7"/>
      <c r="E30" s="7"/>
      <c r="F30" s="8"/>
      <c r="G30" s="8"/>
    </row>
    <row r="31" spans="2:7" x14ac:dyDescent="0.2">
      <c r="C31" s="7"/>
      <c r="D31" s="7"/>
      <c r="E31" s="7"/>
      <c r="F31" s="8"/>
      <c r="G31" s="8"/>
    </row>
    <row r="32" spans="2:7" x14ac:dyDescent="0.2">
      <c r="B32" s="6" t="s">
        <v>14</v>
      </c>
      <c r="C32" s="7">
        <f>SUM(C19:C29)</f>
        <v>153.93299999999999</v>
      </c>
      <c r="D32" s="7">
        <f>SUM(D19:D29)</f>
        <v>1917.84</v>
      </c>
      <c r="E32" s="7">
        <f>SUM(E19:E29)</f>
        <v>4804.5</v>
      </c>
      <c r="F32" s="8">
        <f>SUM(F19:F29)</f>
        <v>266</v>
      </c>
      <c r="G32" s="8">
        <f>SUM(G19:G29)</f>
        <v>881</v>
      </c>
    </row>
    <row r="33" spans="3:7" x14ac:dyDescent="0.2">
      <c r="C33" s="7"/>
      <c r="D33" s="7"/>
      <c r="E33" s="7"/>
      <c r="F33" s="8"/>
      <c r="G33" s="8"/>
    </row>
    <row r="34" spans="3:7" x14ac:dyDescent="0.2">
      <c r="C34" s="7"/>
      <c r="D34" s="7"/>
      <c r="E34" s="7"/>
      <c r="F34" s="8"/>
      <c r="G34" s="8"/>
    </row>
    <row r="35" spans="3:7" x14ac:dyDescent="0.2">
      <c r="C35" s="7"/>
      <c r="D35" s="7"/>
      <c r="E35" s="7"/>
      <c r="F35" s="8"/>
      <c r="G35" s="8"/>
    </row>
    <row r="36" spans="3:7" x14ac:dyDescent="0.2">
      <c r="C36" s="7"/>
      <c r="D36" s="7"/>
      <c r="E36" s="7"/>
      <c r="F36" s="8"/>
      <c r="G36" s="8"/>
    </row>
    <row r="37" spans="3:7" x14ac:dyDescent="0.2">
      <c r="C37" s="7"/>
      <c r="D37" s="7"/>
      <c r="E37" s="7"/>
      <c r="F37" s="8"/>
      <c r="G37" s="8"/>
    </row>
    <row r="38" spans="3:7" x14ac:dyDescent="0.2">
      <c r="C38" s="7"/>
      <c r="D38" s="7"/>
      <c r="E38" s="7"/>
      <c r="F38" s="8"/>
      <c r="G38" s="8"/>
    </row>
    <row r="39" spans="3:7" x14ac:dyDescent="0.2">
      <c r="C39" s="7"/>
      <c r="D39" s="7"/>
      <c r="E39" s="7"/>
      <c r="F39" s="8"/>
      <c r="G39" s="8"/>
    </row>
    <row r="40" spans="3:7" x14ac:dyDescent="0.2">
      <c r="C40" s="7"/>
      <c r="D40" s="7"/>
      <c r="E40" s="7"/>
      <c r="F40" s="8"/>
      <c r="G40" s="8"/>
    </row>
    <row r="41" spans="3:7" x14ac:dyDescent="0.2">
      <c r="C41" s="7"/>
      <c r="D41" s="7"/>
      <c r="E41" s="7"/>
      <c r="F41" s="8"/>
      <c r="G41" s="8"/>
    </row>
    <row r="42" spans="3:7" x14ac:dyDescent="0.2">
      <c r="C42" s="7"/>
      <c r="D42" s="7"/>
      <c r="E42" s="7"/>
      <c r="F42" s="8"/>
      <c r="G42" s="8"/>
    </row>
    <row r="43" spans="3:7" x14ac:dyDescent="0.2">
      <c r="C43" s="7"/>
      <c r="D43" s="7"/>
      <c r="E43" s="7"/>
      <c r="F43" s="8"/>
      <c r="G43" s="8"/>
    </row>
    <row r="44" spans="3:7" x14ac:dyDescent="0.2">
      <c r="C44" s="7"/>
      <c r="D44" s="7"/>
      <c r="E44" s="7"/>
      <c r="F44" s="8"/>
      <c r="G44" s="8"/>
    </row>
    <row r="45" spans="3:7" x14ac:dyDescent="0.2">
      <c r="C45" s="7"/>
      <c r="D45" s="7"/>
      <c r="E45" s="7"/>
      <c r="F45" s="8"/>
      <c r="G45" s="8"/>
    </row>
    <row r="46" spans="3:7" x14ac:dyDescent="0.2">
      <c r="C46" s="7"/>
      <c r="D46" s="7"/>
      <c r="E46" s="7"/>
      <c r="F46" s="8"/>
      <c r="G46" s="8"/>
    </row>
    <row r="47" spans="3:7" x14ac:dyDescent="0.2">
      <c r="C47" s="7"/>
      <c r="D47" s="7"/>
      <c r="E47" s="7"/>
      <c r="F47" s="8"/>
      <c r="G47" s="8"/>
    </row>
    <row r="48" spans="3:7" x14ac:dyDescent="0.2">
      <c r="C48" s="7"/>
      <c r="D48" s="7"/>
      <c r="E48" s="7"/>
      <c r="F48" s="8"/>
      <c r="G48" s="8"/>
    </row>
    <row r="49" spans="3:7" x14ac:dyDescent="0.2">
      <c r="C49" s="7"/>
      <c r="D49" s="7"/>
      <c r="E49" s="7"/>
      <c r="F49" s="8"/>
      <c r="G49" s="8"/>
    </row>
    <row r="50" spans="3:7" x14ac:dyDescent="0.2">
      <c r="C50" s="7"/>
      <c r="D50" s="7"/>
      <c r="E50" s="7"/>
      <c r="F50" s="8"/>
      <c r="G50" s="8"/>
    </row>
    <row r="51" spans="3:7" x14ac:dyDescent="0.2">
      <c r="C51" s="7"/>
      <c r="D51" s="7"/>
      <c r="E51" s="7"/>
      <c r="F51" s="8"/>
      <c r="G51" s="8"/>
    </row>
    <row r="52" spans="3:7" x14ac:dyDescent="0.2">
      <c r="C52" s="7"/>
      <c r="D52" s="7"/>
      <c r="E52" s="7"/>
      <c r="F52" s="8"/>
      <c r="G52" s="8"/>
    </row>
    <row r="53" spans="3:7" x14ac:dyDescent="0.2">
      <c r="C53" s="7"/>
      <c r="D53" s="7"/>
      <c r="E53" s="7"/>
      <c r="F53" s="8"/>
      <c r="G53" s="8"/>
    </row>
    <row r="54" spans="3:7" x14ac:dyDescent="0.2">
      <c r="C54" s="7"/>
      <c r="D54" s="7"/>
      <c r="E54" s="7"/>
      <c r="F54" s="8"/>
      <c r="G54" s="8"/>
    </row>
    <row r="55" spans="3:7" x14ac:dyDescent="0.2">
      <c r="C55" s="7"/>
      <c r="D55" s="7"/>
      <c r="E55" s="7"/>
      <c r="F55" s="8"/>
      <c r="G55" s="8"/>
    </row>
    <row r="56" spans="3:7" x14ac:dyDescent="0.2">
      <c r="C56" s="7"/>
      <c r="D56" s="7"/>
      <c r="E56" s="7"/>
      <c r="F56" s="8"/>
      <c r="G56" s="8"/>
    </row>
    <row r="57" spans="3:7" x14ac:dyDescent="0.2">
      <c r="C57" s="7"/>
      <c r="D57" s="7"/>
      <c r="E57" s="7"/>
      <c r="F57" s="8"/>
      <c r="G57" s="8"/>
    </row>
    <row r="58" spans="3:7" x14ac:dyDescent="0.2">
      <c r="C58" s="7"/>
      <c r="D58" s="7"/>
      <c r="E58" s="7"/>
      <c r="F58" s="8"/>
      <c r="G58" s="8"/>
    </row>
    <row r="59" spans="3:7" x14ac:dyDescent="0.2">
      <c r="C59" s="7"/>
      <c r="D59" s="7"/>
      <c r="E59" s="7"/>
      <c r="F59" s="8"/>
      <c r="G59" s="8"/>
    </row>
    <row r="60" spans="3:7" x14ac:dyDescent="0.2">
      <c r="C60" s="7"/>
      <c r="D60" s="7"/>
      <c r="E60" s="7"/>
      <c r="F60" s="8"/>
      <c r="G60" s="8"/>
    </row>
    <row r="61" spans="3:7" x14ac:dyDescent="0.2">
      <c r="C61" s="7"/>
      <c r="D61" s="7"/>
      <c r="E61" s="7"/>
      <c r="F61" s="8"/>
      <c r="G61" s="8"/>
    </row>
    <row r="62" spans="3:7" x14ac:dyDescent="0.2">
      <c r="C62" s="7"/>
      <c r="D62" s="7"/>
      <c r="E62" s="7"/>
      <c r="F62" s="8"/>
      <c r="G62" s="8"/>
    </row>
    <row r="63" spans="3:7" x14ac:dyDescent="0.2">
      <c r="C63" s="7"/>
      <c r="D63" s="7"/>
      <c r="E63" s="7"/>
      <c r="F63" s="8"/>
      <c r="G63" s="8"/>
    </row>
    <row r="64" spans="3:7" x14ac:dyDescent="0.2">
      <c r="C64" s="7"/>
      <c r="D64" s="7"/>
      <c r="E64" s="7"/>
      <c r="F64" s="8"/>
      <c r="G64" s="8"/>
    </row>
    <row r="65" spans="3:7" x14ac:dyDescent="0.2">
      <c r="C65" s="7"/>
      <c r="D65" s="7"/>
      <c r="E65" s="7"/>
      <c r="F65" s="8"/>
      <c r="G65" s="8"/>
    </row>
    <row r="66" spans="3:7" x14ac:dyDescent="0.2">
      <c r="C66" s="7"/>
      <c r="D66" s="7"/>
      <c r="E66" s="7"/>
      <c r="F66" s="8"/>
      <c r="G66" s="8"/>
    </row>
    <row r="67" spans="3:7" x14ac:dyDescent="0.2">
      <c r="C67" s="7"/>
      <c r="D67" s="7"/>
      <c r="E67" s="7"/>
      <c r="F67" s="8"/>
      <c r="G67" s="8"/>
    </row>
    <row r="68" spans="3:7" x14ac:dyDescent="0.2">
      <c r="C68" s="7"/>
      <c r="D68" s="7"/>
      <c r="E68" s="7"/>
      <c r="F68" s="8"/>
      <c r="G68" s="8"/>
    </row>
    <row r="69" spans="3:7" x14ac:dyDescent="0.2">
      <c r="C69" s="7"/>
      <c r="D69" s="7"/>
      <c r="E69" s="7"/>
      <c r="F69" s="8"/>
      <c r="G69" s="8"/>
    </row>
    <row r="70" spans="3:7" x14ac:dyDescent="0.2">
      <c r="C70" s="7"/>
      <c r="D70" s="7"/>
      <c r="E70" s="7"/>
      <c r="F70" s="8"/>
      <c r="G70" s="8"/>
    </row>
    <row r="71" spans="3:7" x14ac:dyDescent="0.2">
      <c r="C71" s="7"/>
      <c r="D71" s="7"/>
      <c r="E71" s="7"/>
      <c r="F71" s="8"/>
      <c r="G71" s="8"/>
    </row>
    <row r="72" spans="3:7" x14ac:dyDescent="0.2">
      <c r="C72" s="7"/>
      <c r="D72" s="7"/>
      <c r="E72" s="7"/>
      <c r="F72" s="8"/>
      <c r="G72" s="8"/>
    </row>
    <row r="73" spans="3:7" x14ac:dyDescent="0.2">
      <c r="F73" s="8"/>
      <c r="G73" s="8"/>
    </row>
    <row r="74" spans="3:7" x14ac:dyDescent="0.2">
      <c r="F74" s="8"/>
      <c r="G74" s="8"/>
    </row>
    <row r="75" spans="3:7" x14ac:dyDescent="0.2">
      <c r="F75" s="8"/>
      <c r="G75" s="8"/>
    </row>
  </sheetData>
  <printOptions gridLinesSet="0"/>
  <pageMargins left="0.75" right="0.75" top="1" bottom="1" header="0.5" footer="0.5"/>
  <pageSetup orientation="portrait" horizontalDpi="300" verticalDpi="300" r:id="rId1"/>
  <headerFooter alignWithMargins="0">
    <oddHeader xml:space="preserve">&amp;L&amp;D
</oddHeader>
    <oddFooter>&amp;LPNCSUM.XLS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O95"/>
  <sheetViews>
    <sheetView showGridLines="0" tabSelected="1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6.140625" style="11" customWidth="1"/>
    <col min="11" max="11" width="11.28515625" style="11" customWidth="1"/>
    <col min="12" max="12" width="52.42578125" style="11" customWidth="1"/>
    <col min="13" max="14" width="10" style="11" customWidth="1"/>
    <col min="15" max="15" width="13.85546875" style="11" customWidth="1"/>
    <col min="16" max="16" width="2.28515625" style="11" customWidth="1"/>
    <col min="17" max="16384" width="12.5703125" style="11"/>
  </cols>
  <sheetData>
    <row r="1" spans="1:15" x14ac:dyDescent="0.25">
      <c r="N1" s="12" t="s">
        <v>15</v>
      </c>
    </row>
    <row r="3" spans="1:15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</row>
    <row r="4" spans="1:15" ht="30.75" x14ac:dyDescent="0.45">
      <c r="A4" s="13" t="s">
        <v>17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</row>
    <row r="5" spans="1:15" ht="30.75" x14ac:dyDescent="0.45">
      <c r="A5" s="13" t="s">
        <v>18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</row>
    <row r="6" spans="1:15" x14ac:dyDescent="0.25">
      <c r="N6" s="12" t="s">
        <v>3</v>
      </c>
    </row>
    <row r="8" spans="1:15" x14ac:dyDescent="0.25">
      <c r="A8" s="15" t="s">
        <v>19</v>
      </c>
      <c r="B8" s="16"/>
      <c r="C8" s="17" t="s">
        <v>20</v>
      </c>
      <c r="D8" s="18"/>
      <c r="E8" s="19"/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27</v>
      </c>
      <c r="M8" s="20" t="s">
        <v>5</v>
      </c>
      <c r="N8" s="20" t="s">
        <v>28</v>
      </c>
      <c r="O8" s="20" t="s">
        <v>29</v>
      </c>
    </row>
    <row r="9" spans="1:15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2"/>
      <c r="K9" s="24" t="s">
        <v>35</v>
      </c>
      <c r="L9" s="22"/>
      <c r="M9" s="24" t="s">
        <v>10</v>
      </c>
      <c r="N9" s="24" t="s">
        <v>11</v>
      </c>
      <c r="O9" s="24" t="s">
        <v>10</v>
      </c>
    </row>
    <row r="10" spans="1:15" ht="16.5" thickTop="1" x14ac:dyDescent="0.25">
      <c r="A10" s="25">
        <v>1</v>
      </c>
      <c r="B10" s="26" t="s">
        <v>36</v>
      </c>
      <c r="C10" s="27"/>
      <c r="D10" s="28" t="s">
        <v>37</v>
      </c>
      <c r="E10" s="27"/>
      <c r="F10" s="29">
        <v>0.04</v>
      </c>
      <c r="G10" s="27"/>
      <c r="H10" s="30" t="s">
        <v>36</v>
      </c>
      <c r="I10" s="27"/>
      <c r="J10" s="31" t="s">
        <v>38</v>
      </c>
      <c r="K10" s="31" t="s">
        <v>39</v>
      </c>
      <c r="L10" s="27"/>
      <c r="M10" s="32" t="str">
        <f>IF(F10*I10&gt;0,F10*I10," ")</f>
        <v xml:space="preserve"> </v>
      </c>
      <c r="N10" s="33" t="s">
        <v>36</v>
      </c>
      <c r="O10" s="32"/>
    </row>
    <row r="11" spans="1:15" x14ac:dyDescent="0.25">
      <c r="A11" s="25">
        <f t="shared" ref="A11:A74" si="0">A10+1</f>
        <v>2</v>
      </c>
      <c r="B11" s="27"/>
      <c r="C11" s="27"/>
      <c r="D11" s="34">
        <v>316</v>
      </c>
      <c r="E11" s="27"/>
      <c r="F11" s="29">
        <v>0.01</v>
      </c>
      <c r="G11" s="27"/>
      <c r="H11" s="35"/>
      <c r="I11" s="27"/>
      <c r="J11" s="31" t="s">
        <v>40</v>
      </c>
      <c r="K11" s="31" t="s">
        <v>39</v>
      </c>
      <c r="L11" s="27"/>
      <c r="M11" s="32" t="str">
        <f>IF(F11*I11&gt;0,F11*I11," ")</f>
        <v xml:space="preserve"> </v>
      </c>
      <c r="N11" s="32"/>
      <c r="O11" s="32"/>
    </row>
    <row r="12" spans="1:15" x14ac:dyDescent="0.25">
      <c r="A12" s="25">
        <f t="shared" si="0"/>
        <v>3</v>
      </c>
      <c r="B12" s="27"/>
      <c r="C12" s="27"/>
      <c r="D12" s="34">
        <v>317</v>
      </c>
      <c r="E12" s="27"/>
      <c r="F12" s="29">
        <v>0.05</v>
      </c>
      <c r="G12" s="27"/>
      <c r="H12" s="35"/>
      <c r="I12" s="27"/>
      <c r="J12" s="31" t="s">
        <v>40</v>
      </c>
      <c r="K12" s="31" t="s">
        <v>39</v>
      </c>
      <c r="L12" s="27"/>
      <c r="M12" s="32" t="str">
        <f t="shared" ref="M12:M75" si="1">IF(F12*I12&gt;0,F12*I12," ")</f>
        <v xml:space="preserve"> </v>
      </c>
      <c r="N12" s="32"/>
      <c r="O12" s="32"/>
    </row>
    <row r="13" spans="1:15" x14ac:dyDescent="0.25">
      <c r="A13" s="25">
        <f t="shared" si="0"/>
        <v>4</v>
      </c>
      <c r="B13" s="27"/>
      <c r="C13" s="27"/>
      <c r="D13" s="34">
        <v>318</v>
      </c>
      <c r="E13" s="27"/>
      <c r="F13" s="29">
        <v>0.01</v>
      </c>
      <c r="G13" s="27"/>
      <c r="H13" s="35"/>
      <c r="I13" s="27"/>
      <c r="J13" s="31" t="s">
        <v>38</v>
      </c>
      <c r="K13" s="31" t="s">
        <v>39</v>
      </c>
      <c r="L13" s="27"/>
      <c r="M13" s="32" t="str">
        <f t="shared" si="1"/>
        <v xml:space="preserve"> </v>
      </c>
      <c r="N13" s="32"/>
      <c r="O13" s="32"/>
    </row>
    <row r="14" spans="1:15" x14ac:dyDescent="0.25">
      <c r="A14" s="25">
        <f t="shared" si="0"/>
        <v>5</v>
      </c>
      <c r="B14" s="27"/>
      <c r="C14" s="27"/>
      <c r="D14" s="34">
        <v>321</v>
      </c>
      <c r="E14" s="27"/>
      <c r="F14" s="29">
        <v>0.02</v>
      </c>
      <c r="G14" s="27"/>
      <c r="H14" s="35"/>
      <c r="I14" s="27"/>
      <c r="J14" s="31" t="s">
        <v>40</v>
      </c>
      <c r="K14" s="31" t="s">
        <v>39</v>
      </c>
      <c r="L14" s="27"/>
      <c r="M14" s="32" t="str">
        <f t="shared" si="1"/>
        <v xml:space="preserve"> </v>
      </c>
      <c r="N14" s="32"/>
      <c r="O14" s="32"/>
    </row>
    <row r="15" spans="1:15" x14ac:dyDescent="0.25">
      <c r="A15" s="25">
        <f t="shared" si="0"/>
        <v>6</v>
      </c>
      <c r="B15" s="27"/>
      <c r="C15" s="27"/>
      <c r="D15" s="34">
        <v>322</v>
      </c>
      <c r="E15" s="27"/>
      <c r="F15" s="29">
        <v>0.02</v>
      </c>
      <c r="G15" s="27"/>
      <c r="H15" s="35"/>
      <c r="I15" s="27"/>
      <c r="J15" s="31" t="s">
        <v>38</v>
      </c>
      <c r="K15" s="31" t="s">
        <v>39</v>
      </c>
      <c r="L15" s="27"/>
      <c r="M15" s="32" t="str">
        <f t="shared" si="1"/>
        <v xml:space="preserve"> </v>
      </c>
      <c r="N15" s="32"/>
      <c r="O15" s="32"/>
    </row>
    <row r="16" spans="1:15" x14ac:dyDescent="0.25">
      <c r="A16" s="25">
        <f t="shared" si="0"/>
        <v>7</v>
      </c>
      <c r="B16" s="27"/>
      <c r="C16" s="27"/>
      <c r="D16" s="34">
        <v>348</v>
      </c>
      <c r="E16" s="27"/>
      <c r="F16" s="29">
        <v>0.01</v>
      </c>
      <c r="G16" s="27"/>
      <c r="H16" s="35"/>
      <c r="I16" s="27"/>
      <c r="J16" s="31" t="s">
        <v>40</v>
      </c>
      <c r="K16" s="31" t="s">
        <v>39</v>
      </c>
      <c r="L16" s="27"/>
      <c r="M16" s="32" t="str">
        <f t="shared" si="1"/>
        <v xml:space="preserve"> </v>
      </c>
      <c r="N16" s="32"/>
      <c r="O16" s="32"/>
    </row>
    <row r="17" spans="1:15" x14ac:dyDescent="0.25">
      <c r="A17" s="25">
        <f t="shared" si="0"/>
        <v>8</v>
      </c>
      <c r="B17" s="27"/>
      <c r="C17" s="27"/>
      <c r="D17" s="34">
        <v>349</v>
      </c>
      <c r="E17" s="27"/>
      <c r="F17" s="29">
        <v>0.02</v>
      </c>
      <c r="G17" s="27"/>
      <c r="H17" s="35"/>
      <c r="I17" s="27"/>
      <c r="J17" s="31" t="s">
        <v>40</v>
      </c>
      <c r="K17" s="31" t="s">
        <v>39</v>
      </c>
      <c r="L17" s="27"/>
      <c r="M17" s="32" t="str">
        <f t="shared" si="1"/>
        <v xml:space="preserve"> </v>
      </c>
      <c r="N17" s="32"/>
      <c r="O17" s="32"/>
    </row>
    <row r="18" spans="1:15" x14ac:dyDescent="0.25">
      <c r="A18" s="25">
        <f t="shared" si="0"/>
        <v>9</v>
      </c>
      <c r="B18" s="27"/>
      <c r="C18" s="27"/>
      <c r="D18" s="34">
        <v>350</v>
      </c>
      <c r="E18" s="27"/>
      <c r="F18" s="29">
        <v>0.04</v>
      </c>
      <c r="G18" s="27"/>
      <c r="H18" s="35"/>
      <c r="I18" s="27"/>
      <c r="J18" s="31" t="s">
        <v>40</v>
      </c>
      <c r="K18" s="31" t="s">
        <v>39</v>
      </c>
      <c r="L18" s="27"/>
      <c r="M18" s="32" t="str">
        <f t="shared" si="1"/>
        <v xml:space="preserve"> </v>
      </c>
      <c r="N18" s="32"/>
      <c r="O18" s="32"/>
    </row>
    <row r="19" spans="1:15" x14ac:dyDescent="0.25">
      <c r="A19" s="25">
        <f t="shared" si="0"/>
        <v>10</v>
      </c>
      <c r="B19" s="27"/>
      <c r="C19" s="27"/>
      <c r="D19" s="34">
        <v>351</v>
      </c>
      <c r="E19" s="27"/>
      <c r="F19" s="29">
        <v>0.05</v>
      </c>
      <c r="G19" s="27"/>
      <c r="H19" s="35"/>
      <c r="I19" s="27"/>
      <c r="J19" s="31" t="s">
        <v>40</v>
      </c>
      <c r="K19" s="31" t="s">
        <v>39</v>
      </c>
      <c r="L19" s="27"/>
      <c r="M19" s="32" t="str">
        <f t="shared" si="1"/>
        <v xml:space="preserve"> </v>
      </c>
      <c r="N19" s="32"/>
      <c r="O19" s="32"/>
    </row>
    <row r="20" spans="1:15" x14ac:dyDescent="0.25">
      <c r="A20" s="25">
        <f t="shared" si="0"/>
        <v>11</v>
      </c>
      <c r="B20" s="27"/>
      <c r="C20" s="27"/>
      <c r="D20" s="34">
        <v>352</v>
      </c>
      <c r="E20" s="27"/>
      <c r="F20" s="29">
        <v>0.01</v>
      </c>
      <c r="G20" s="27"/>
      <c r="H20" s="35"/>
      <c r="I20" s="27"/>
      <c r="J20" s="31" t="s">
        <v>38</v>
      </c>
      <c r="K20" s="31" t="s">
        <v>39</v>
      </c>
      <c r="L20" s="27"/>
      <c r="M20" s="32" t="str">
        <f t="shared" si="1"/>
        <v xml:space="preserve"> </v>
      </c>
      <c r="N20" s="32"/>
      <c r="O20" s="32"/>
    </row>
    <row r="21" spans="1:15" x14ac:dyDescent="0.25">
      <c r="A21" s="25">
        <f t="shared" si="0"/>
        <v>12</v>
      </c>
      <c r="B21" s="27"/>
      <c r="C21" s="27"/>
      <c r="D21" s="34">
        <v>353</v>
      </c>
      <c r="E21" s="27"/>
      <c r="F21" s="29">
        <v>0.02</v>
      </c>
      <c r="G21" s="27"/>
      <c r="H21" s="35"/>
      <c r="I21" s="27"/>
      <c r="J21" s="31" t="s">
        <v>38</v>
      </c>
      <c r="K21" s="31" t="s">
        <v>39</v>
      </c>
      <c r="L21" s="27"/>
      <c r="M21" s="32" t="str">
        <f t="shared" si="1"/>
        <v xml:space="preserve"> </v>
      </c>
      <c r="N21" s="32"/>
      <c r="O21" s="32"/>
    </row>
    <row r="22" spans="1:15" x14ac:dyDescent="0.25">
      <c r="A22" s="25">
        <f t="shared" si="0"/>
        <v>13</v>
      </c>
      <c r="B22" s="27"/>
      <c r="C22" s="27"/>
      <c r="D22" s="34">
        <v>354</v>
      </c>
      <c r="E22" s="27"/>
      <c r="F22" s="29">
        <v>0.04</v>
      </c>
      <c r="G22" s="27"/>
      <c r="H22" s="35"/>
      <c r="I22" s="27"/>
      <c r="J22" s="31" t="s">
        <v>38</v>
      </c>
      <c r="K22" s="31" t="s">
        <v>39</v>
      </c>
      <c r="L22" s="27"/>
      <c r="M22" s="32" t="str">
        <f t="shared" si="1"/>
        <v xml:space="preserve"> </v>
      </c>
      <c r="N22" s="32"/>
      <c r="O22" s="32"/>
    </row>
    <row r="23" spans="1:15" x14ac:dyDescent="0.25">
      <c r="A23" s="25">
        <f t="shared" si="0"/>
        <v>14</v>
      </c>
      <c r="B23" s="27"/>
      <c r="C23" s="27"/>
      <c r="D23" s="34">
        <v>355</v>
      </c>
      <c r="E23" s="27"/>
      <c r="F23" s="29">
        <v>0.05</v>
      </c>
      <c r="G23" s="27"/>
      <c r="H23" s="35"/>
      <c r="I23" s="27"/>
      <c r="J23" s="31" t="s">
        <v>38</v>
      </c>
      <c r="K23" s="31" t="s">
        <v>39</v>
      </c>
      <c r="L23" s="27"/>
      <c r="M23" s="32" t="str">
        <f t="shared" si="1"/>
        <v xml:space="preserve"> </v>
      </c>
      <c r="N23" s="32"/>
      <c r="O23" s="32"/>
    </row>
    <row r="24" spans="1:15" x14ac:dyDescent="0.25">
      <c r="A24" s="25">
        <f t="shared" si="0"/>
        <v>15</v>
      </c>
      <c r="B24" s="27"/>
      <c r="C24" s="27"/>
      <c r="D24" s="34">
        <v>356</v>
      </c>
      <c r="E24" s="27"/>
      <c r="F24" s="29">
        <v>0.1</v>
      </c>
      <c r="G24" s="27"/>
      <c r="H24" s="35"/>
      <c r="I24" s="27"/>
      <c r="J24" s="31" t="s">
        <v>38</v>
      </c>
      <c r="K24" s="31" t="s">
        <v>39</v>
      </c>
      <c r="L24" s="27"/>
      <c r="M24" s="32" t="str">
        <f t="shared" si="1"/>
        <v xml:space="preserve"> </v>
      </c>
      <c r="N24" s="32"/>
      <c r="O24" s="32"/>
    </row>
    <row r="25" spans="1:15" x14ac:dyDescent="0.25">
      <c r="A25" s="25">
        <f t="shared" si="0"/>
        <v>16</v>
      </c>
      <c r="B25" s="27"/>
      <c r="C25" s="27"/>
      <c r="D25" s="34">
        <v>385</v>
      </c>
      <c r="E25" s="27"/>
      <c r="F25" s="29">
        <v>0.01</v>
      </c>
      <c r="G25" s="27"/>
      <c r="H25" s="35"/>
      <c r="I25" s="27"/>
      <c r="J25" s="31" t="s">
        <v>40</v>
      </c>
      <c r="K25" s="31" t="s">
        <v>39</v>
      </c>
      <c r="L25" s="27"/>
      <c r="M25" s="32" t="str">
        <f t="shared" si="1"/>
        <v xml:space="preserve"> </v>
      </c>
      <c r="N25" s="32"/>
      <c r="O25" s="32"/>
    </row>
    <row r="26" spans="1:15" x14ac:dyDescent="0.25">
      <c r="A26" s="25">
        <f t="shared" si="0"/>
        <v>17</v>
      </c>
      <c r="B26" s="27"/>
      <c r="C26" s="27"/>
      <c r="D26" s="34">
        <v>386</v>
      </c>
      <c r="E26" s="27"/>
      <c r="F26" s="29">
        <v>0.02</v>
      </c>
      <c r="G26" s="27"/>
      <c r="H26" s="35"/>
      <c r="I26" s="27"/>
      <c r="J26" s="31" t="s">
        <v>40</v>
      </c>
      <c r="K26" s="31" t="s">
        <v>39</v>
      </c>
      <c r="L26" s="27"/>
      <c r="M26" s="32" t="str">
        <f t="shared" si="1"/>
        <v xml:space="preserve"> </v>
      </c>
      <c r="N26" s="32"/>
      <c r="O26" s="32"/>
    </row>
    <row r="27" spans="1:15" x14ac:dyDescent="0.25">
      <c r="A27" s="25">
        <f t="shared" si="0"/>
        <v>18</v>
      </c>
      <c r="B27" s="27"/>
      <c r="C27" s="27"/>
      <c r="D27" s="34">
        <v>387</v>
      </c>
      <c r="E27" s="27"/>
      <c r="F27" s="29">
        <v>0.01</v>
      </c>
      <c r="G27" s="27"/>
      <c r="H27" s="35"/>
      <c r="I27" s="27"/>
      <c r="J27" s="31" t="s">
        <v>38</v>
      </c>
      <c r="K27" s="31" t="s">
        <v>39</v>
      </c>
      <c r="L27" s="27"/>
      <c r="M27" s="32" t="str">
        <f t="shared" si="1"/>
        <v xml:space="preserve"> </v>
      </c>
      <c r="N27" s="32"/>
      <c r="O27" s="32"/>
    </row>
    <row r="28" spans="1:15" x14ac:dyDescent="0.25">
      <c r="A28" s="25">
        <f t="shared" si="0"/>
        <v>19</v>
      </c>
      <c r="B28" s="27"/>
      <c r="C28" s="27"/>
      <c r="D28" s="34">
        <v>388</v>
      </c>
      <c r="E28" s="27"/>
      <c r="F28" s="29">
        <v>0.02</v>
      </c>
      <c r="G28" s="27"/>
      <c r="H28" s="35"/>
      <c r="I28" s="27"/>
      <c r="J28" s="31" t="s">
        <v>38</v>
      </c>
      <c r="K28" s="31" t="s">
        <v>39</v>
      </c>
      <c r="L28" s="27"/>
      <c r="M28" s="32" t="str">
        <f t="shared" si="1"/>
        <v xml:space="preserve"> </v>
      </c>
      <c r="N28" s="32"/>
      <c r="O28" s="32"/>
    </row>
    <row r="29" spans="1:15" x14ac:dyDescent="0.25">
      <c r="A29" s="25">
        <f t="shared" si="0"/>
        <v>20</v>
      </c>
      <c r="B29" s="27"/>
      <c r="C29" s="27"/>
      <c r="D29" s="34">
        <v>389</v>
      </c>
      <c r="E29" s="27"/>
      <c r="F29" s="29">
        <v>0.03</v>
      </c>
      <c r="G29" s="27"/>
      <c r="H29" s="35"/>
      <c r="I29" s="27"/>
      <c r="J29" s="31" t="s">
        <v>38</v>
      </c>
      <c r="K29" s="31" t="s">
        <v>39</v>
      </c>
      <c r="L29" s="27"/>
      <c r="M29" s="32" t="str">
        <f t="shared" si="1"/>
        <v xml:space="preserve"> </v>
      </c>
      <c r="N29" s="32"/>
      <c r="O29" s="32"/>
    </row>
    <row r="30" spans="1:15" x14ac:dyDescent="0.25">
      <c r="A30" s="25">
        <f t="shared" si="0"/>
        <v>21</v>
      </c>
      <c r="B30" s="27"/>
      <c r="C30" s="27"/>
      <c r="D30" s="34">
        <v>390</v>
      </c>
      <c r="E30" s="27"/>
      <c r="F30" s="29">
        <v>0.01</v>
      </c>
      <c r="G30" s="27" t="s">
        <v>41</v>
      </c>
      <c r="H30" s="36" t="s">
        <v>42</v>
      </c>
      <c r="I30" s="27">
        <v>2</v>
      </c>
      <c r="J30" s="31" t="s">
        <v>40</v>
      </c>
      <c r="K30" s="31" t="s">
        <v>39</v>
      </c>
      <c r="L30" s="27" t="s">
        <v>276</v>
      </c>
      <c r="M30" s="32">
        <f t="shared" si="1"/>
        <v>0.02</v>
      </c>
      <c r="N30" s="32">
        <v>25</v>
      </c>
      <c r="O30" s="32">
        <v>115</v>
      </c>
    </row>
    <row r="31" spans="1:15" s="133" customFormat="1" x14ac:dyDescent="0.25">
      <c r="A31" s="123">
        <f t="shared" si="0"/>
        <v>22</v>
      </c>
      <c r="B31" s="125"/>
      <c r="C31" s="125"/>
      <c r="D31" s="134">
        <v>391</v>
      </c>
      <c r="E31" s="125"/>
      <c r="F31" s="127">
        <v>0.02</v>
      </c>
      <c r="G31" s="125" t="s">
        <v>43</v>
      </c>
      <c r="H31" s="137" t="s">
        <v>42</v>
      </c>
      <c r="I31" s="125">
        <v>2</v>
      </c>
      <c r="J31" s="130" t="s">
        <v>40</v>
      </c>
      <c r="K31" s="130" t="s">
        <v>39</v>
      </c>
      <c r="L31" s="125" t="s">
        <v>49</v>
      </c>
      <c r="M31" s="131">
        <f t="shared" si="1"/>
        <v>0.04</v>
      </c>
      <c r="N31" s="131">
        <v>125</v>
      </c>
      <c r="O31" s="131">
        <v>575</v>
      </c>
    </row>
    <row r="32" spans="1:15" x14ac:dyDescent="0.25">
      <c r="A32" s="25">
        <f t="shared" si="0"/>
        <v>23</v>
      </c>
      <c r="B32" s="27"/>
      <c r="C32" s="27"/>
      <c r="D32" s="34">
        <v>392</v>
      </c>
      <c r="E32" s="27"/>
      <c r="F32" s="29">
        <v>0.01</v>
      </c>
      <c r="G32" s="27"/>
      <c r="H32" s="35"/>
      <c r="I32" s="27"/>
      <c r="J32" s="31" t="s">
        <v>38</v>
      </c>
      <c r="K32" s="31" t="s">
        <v>39</v>
      </c>
      <c r="L32" s="27"/>
      <c r="M32" s="32" t="str">
        <f t="shared" si="1"/>
        <v xml:space="preserve"> </v>
      </c>
      <c r="N32" s="32"/>
      <c r="O32" s="32"/>
    </row>
    <row r="33" spans="1:15" x14ac:dyDescent="0.25">
      <c r="A33" s="25">
        <f t="shared" si="0"/>
        <v>24</v>
      </c>
      <c r="B33" s="27"/>
      <c r="C33" s="27"/>
      <c r="D33" s="34">
        <v>393</v>
      </c>
      <c r="E33" s="27"/>
      <c r="F33" s="29">
        <v>0.02</v>
      </c>
      <c r="G33" s="27"/>
      <c r="H33" s="35"/>
      <c r="I33" s="27"/>
      <c r="J33" s="31" t="s">
        <v>38</v>
      </c>
      <c r="K33" s="31" t="s">
        <v>39</v>
      </c>
      <c r="L33" s="27"/>
      <c r="M33" s="32" t="str">
        <f t="shared" si="1"/>
        <v xml:space="preserve"> </v>
      </c>
      <c r="N33" s="32"/>
      <c r="O33" s="32"/>
    </row>
    <row r="34" spans="1:15" x14ac:dyDescent="0.25">
      <c r="A34" s="25">
        <f t="shared" si="0"/>
        <v>25</v>
      </c>
      <c r="B34" s="27"/>
      <c r="C34" s="27"/>
      <c r="D34" s="34">
        <v>394</v>
      </c>
      <c r="E34" s="27"/>
      <c r="F34" s="29">
        <v>0.03</v>
      </c>
      <c r="G34" s="27"/>
      <c r="H34" s="35"/>
      <c r="I34" s="27"/>
      <c r="J34" s="31" t="s">
        <v>38</v>
      </c>
      <c r="K34" s="31" t="s">
        <v>39</v>
      </c>
      <c r="L34" s="27"/>
      <c r="M34" s="32" t="str">
        <f t="shared" si="1"/>
        <v xml:space="preserve"> </v>
      </c>
      <c r="N34" s="32"/>
      <c r="O34" s="32"/>
    </row>
    <row r="35" spans="1:15" x14ac:dyDescent="0.25">
      <c r="A35" s="25">
        <f t="shared" si="0"/>
        <v>26</v>
      </c>
      <c r="B35" s="27"/>
      <c r="C35" s="27"/>
      <c r="D35" s="34">
        <v>395</v>
      </c>
      <c r="E35" s="27"/>
      <c r="F35" s="29">
        <v>0.04</v>
      </c>
      <c r="G35" s="27"/>
      <c r="H35" s="35"/>
      <c r="I35" s="27"/>
      <c r="J35" s="31" t="s">
        <v>38</v>
      </c>
      <c r="K35" s="31" t="s">
        <v>39</v>
      </c>
      <c r="L35" s="27"/>
      <c r="M35" s="32" t="str">
        <f t="shared" si="1"/>
        <v xml:space="preserve"> </v>
      </c>
      <c r="N35" s="32"/>
      <c r="O35" s="32"/>
    </row>
    <row r="36" spans="1:15" x14ac:dyDescent="0.25">
      <c r="A36" s="25">
        <f t="shared" si="0"/>
        <v>27</v>
      </c>
      <c r="B36" s="27"/>
      <c r="C36" s="27"/>
      <c r="D36" s="34">
        <v>396</v>
      </c>
      <c r="E36" s="27"/>
      <c r="F36" s="29">
        <v>0.05</v>
      </c>
      <c r="G36" s="27"/>
      <c r="H36" s="35"/>
      <c r="I36" s="27"/>
      <c r="J36" s="31" t="s">
        <v>38</v>
      </c>
      <c r="K36" s="31" t="s">
        <v>39</v>
      </c>
      <c r="L36" s="27"/>
      <c r="M36" s="32" t="str">
        <f t="shared" si="1"/>
        <v xml:space="preserve"> </v>
      </c>
      <c r="N36" s="32"/>
      <c r="O36" s="32"/>
    </row>
    <row r="37" spans="1:15" x14ac:dyDescent="0.25">
      <c r="A37" s="25">
        <f t="shared" si="0"/>
        <v>28</v>
      </c>
      <c r="B37" s="27"/>
      <c r="C37" s="27"/>
      <c r="D37" s="34">
        <v>410</v>
      </c>
      <c r="E37" s="27"/>
      <c r="F37" s="29">
        <v>0.01</v>
      </c>
      <c r="G37" s="27" t="s">
        <v>43</v>
      </c>
      <c r="H37" s="36" t="s">
        <v>44</v>
      </c>
      <c r="I37" s="27">
        <v>2</v>
      </c>
      <c r="J37" s="31" t="s">
        <v>40</v>
      </c>
      <c r="K37" s="31" t="s">
        <v>39</v>
      </c>
      <c r="L37" s="27" t="s">
        <v>45</v>
      </c>
      <c r="M37" s="32">
        <f t="shared" si="1"/>
        <v>0.02</v>
      </c>
      <c r="N37" s="32">
        <v>35</v>
      </c>
      <c r="O37" s="32">
        <v>65</v>
      </c>
    </row>
    <row r="38" spans="1:15" x14ac:dyDescent="0.25">
      <c r="A38" s="25">
        <f t="shared" si="0"/>
        <v>29</v>
      </c>
      <c r="B38" s="27"/>
      <c r="C38" s="27"/>
      <c r="D38" s="34">
        <v>411</v>
      </c>
      <c r="E38" s="27"/>
      <c r="F38" s="29">
        <v>0.02</v>
      </c>
      <c r="G38" s="27"/>
      <c r="H38" s="35"/>
      <c r="I38" s="27"/>
      <c r="J38" s="31" t="s">
        <v>40</v>
      </c>
      <c r="K38" s="31" t="s">
        <v>39</v>
      </c>
      <c r="L38" s="27"/>
      <c r="M38" s="32" t="str">
        <f t="shared" si="1"/>
        <v xml:space="preserve"> </v>
      </c>
      <c r="N38" s="32"/>
      <c r="O38" s="32"/>
    </row>
    <row r="39" spans="1:15" x14ac:dyDescent="0.25">
      <c r="A39" s="25">
        <f t="shared" si="0"/>
        <v>30</v>
      </c>
      <c r="B39" s="27"/>
      <c r="C39" s="27"/>
      <c r="D39" s="34">
        <v>412</v>
      </c>
      <c r="E39" s="27"/>
      <c r="F39" s="29">
        <v>0.01</v>
      </c>
      <c r="G39" s="27"/>
      <c r="H39" s="35"/>
      <c r="I39" s="27"/>
      <c r="J39" s="31" t="s">
        <v>38</v>
      </c>
      <c r="K39" s="31" t="s">
        <v>39</v>
      </c>
      <c r="L39" s="27"/>
      <c r="M39" s="32" t="str">
        <f t="shared" si="1"/>
        <v xml:space="preserve"> </v>
      </c>
      <c r="N39" s="32"/>
      <c r="O39" s="32"/>
    </row>
    <row r="40" spans="1:15" x14ac:dyDescent="0.25">
      <c r="A40" s="25">
        <f t="shared" si="0"/>
        <v>31</v>
      </c>
      <c r="B40" s="27"/>
      <c r="C40" s="27"/>
      <c r="D40" s="34">
        <v>413</v>
      </c>
      <c r="E40" s="27"/>
      <c r="F40" s="29">
        <v>0.02</v>
      </c>
      <c r="G40" s="27"/>
      <c r="H40" s="35"/>
      <c r="I40" s="27"/>
      <c r="J40" s="31" t="s">
        <v>38</v>
      </c>
      <c r="K40" s="31" t="s">
        <v>39</v>
      </c>
      <c r="L40" s="27"/>
      <c r="M40" s="32" t="str">
        <f t="shared" si="1"/>
        <v xml:space="preserve"> </v>
      </c>
      <c r="N40" s="32"/>
      <c r="O40" s="32"/>
    </row>
    <row r="41" spans="1:15" x14ac:dyDescent="0.25">
      <c r="A41" s="25">
        <f t="shared" si="0"/>
        <v>32</v>
      </c>
      <c r="B41" s="27"/>
      <c r="C41" s="27"/>
      <c r="D41" s="34">
        <v>441</v>
      </c>
      <c r="E41" s="27"/>
      <c r="F41" s="29">
        <v>0.01</v>
      </c>
      <c r="G41" s="27" t="s">
        <v>43</v>
      </c>
      <c r="H41" s="36" t="s">
        <v>46</v>
      </c>
      <c r="I41" s="27">
        <v>2</v>
      </c>
      <c r="J41" s="31" t="s">
        <v>40</v>
      </c>
      <c r="K41" s="31" t="s">
        <v>39</v>
      </c>
      <c r="L41" s="27" t="s">
        <v>47</v>
      </c>
      <c r="M41" s="32">
        <f t="shared" si="1"/>
        <v>0.02</v>
      </c>
      <c r="N41" s="32">
        <v>7</v>
      </c>
      <c r="O41" s="32">
        <v>17.5</v>
      </c>
    </row>
    <row r="42" spans="1:15" x14ac:dyDescent="0.25">
      <c r="A42" s="25">
        <f t="shared" si="0"/>
        <v>33</v>
      </c>
      <c r="B42" s="27"/>
      <c r="C42" s="27"/>
      <c r="D42" s="34">
        <v>442</v>
      </c>
      <c r="E42" s="27"/>
      <c r="F42" s="29">
        <v>0.02</v>
      </c>
      <c r="G42" s="27"/>
      <c r="H42" s="35"/>
      <c r="I42" s="27"/>
      <c r="J42" s="31" t="s">
        <v>40</v>
      </c>
      <c r="K42" s="31" t="s">
        <v>39</v>
      </c>
      <c r="L42" s="27"/>
      <c r="M42" s="32" t="str">
        <f t="shared" si="1"/>
        <v xml:space="preserve"> </v>
      </c>
      <c r="N42" s="32"/>
      <c r="O42" s="32"/>
    </row>
    <row r="43" spans="1:15" x14ac:dyDescent="0.25">
      <c r="A43" s="25">
        <f t="shared" si="0"/>
        <v>34</v>
      </c>
      <c r="B43" s="27"/>
      <c r="C43" s="27"/>
      <c r="D43" s="34">
        <v>443</v>
      </c>
      <c r="E43" s="27"/>
      <c r="F43" s="29">
        <v>0.01</v>
      </c>
      <c r="G43" s="27"/>
      <c r="H43" s="35"/>
      <c r="I43" s="27"/>
      <c r="J43" s="31" t="s">
        <v>38</v>
      </c>
      <c r="K43" s="31" t="s">
        <v>39</v>
      </c>
      <c r="L43" s="27"/>
      <c r="M43" s="32" t="str">
        <f t="shared" si="1"/>
        <v xml:space="preserve"> </v>
      </c>
      <c r="N43" s="32"/>
      <c r="O43" s="32"/>
    </row>
    <row r="44" spans="1:15" x14ac:dyDescent="0.25">
      <c r="A44" s="25">
        <f t="shared" si="0"/>
        <v>35</v>
      </c>
      <c r="B44" s="27"/>
      <c r="C44" s="27"/>
      <c r="D44" s="34">
        <v>444</v>
      </c>
      <c r="E44" s="27"/>
      <c r="F44" s="29">
        <v>0.02</v>
      </c>
      <c r="G44" s="27"/>
      <c r="H44" s="35"/>
      <c r="I44" s="27"/>
      <c r="J44" s="31" t="s">
        <v>38</v>
      </c>
      <c r="K44" s="31" t="s">
        <v>39</v>
      </c>
      <c r="L44" s="27"/>
      <c r="M44" s="32" t="str">
        <f t="shared" si="1"/>
        <v xml:space="preserve"> </v>
      </c>
      <c r="N44" s="32"/>
      <c r="O44" s="32"/>
    </row>
    <row r="45" spans="1:15" x14ac:dyDescent="0.25">
      <c r="A45" s="25">
        <f t="shared" si="0"/>
        <v>36</v>
      </c>
      <c r="B45" s="27"/>
      <c r="C45" s="27"/>
      <c r="D45" s="34">
        <v>445</v>
      </c>
      <c r="E45" s="27"/>
      <c r="F45" s="29">
        <v>0.03</v>
      </c>
      <c r="G45" s="27"/>
      <c r="H45" s="35"/>
      <c r="I45" s="27"/>
      <c r="J45" s="31" t="s">
        <v>38</v>
      </c>
      <c r="K45" s="31" t="s">
        <v>39</v>
      </c>
      <c r="L45" s="27"/>
      <c r="M45" s="32" t="str">
        <f t="shared" si="1"/>
        <v xml:space="preserve"> </v>
      </c>
      <c r="N45" s="32"/>
      <c r="O45" s="32"/>
    </row>
    <row r="46" spans="1:15" x14ac:dyDescent="0.25">
      <c r="A46" s="25">
        <f t="shared" si="0"/>
        <v>37</v>
      </c>
      <c r="B46" s="27"/>
      <c r="C46" s="27"/>
      <c r="D46" s="34">
        <v>446</v>
      </c>
      <c r="E46" s="27"/>
      <c r="F46" s="29">
        <v>0.04</v>
      </c>
      <c r="G46" s="27"/>
      <c r="H46" s="35"/>
      <c r="I46" s="27"/>
      <c r="J46" s="31" t="s">
        <v>38</v>
      </c>
      <c r="K46" s="31" t="s">
        <v>39</v>
      </c>
      <c r="L46" s="27"/>
      <c r="M46" s="32" t="str">
        <f t="shared" si="1"/>
        <v xml:space="preserve"> </v>
      </c>
      <c r="N46" s="32"/>
      <c r="O46" s="32"/>
    </row>
    <row r="47" spans="1:15" x14ac:dyDescent="0.25">
      <c r="A47" s="25">
        <f t="shared" si="0"/>
        <v>38</v>
      </c>
      <c r="B47" s="27"/>
      <c r="C47" s="27"/>
      <c r="D47" s="34">
        <v>447</v>
      </c>
      <c r="E47" s="27"/>
      <c r="F47" s="29">
        <v>0.05</v>
      </c>
      <c r="G47" s="27"/>
      <c r="H47" s="35"/>
      <c r="I47" s="27"/>
      <c r="J47" s="31" t="s">
        <v>38</v>
      </c>
      <c r="K47" s="31" t="s">
        <v>39</v>
      </c>
      <c r="L47" s="27"/>
      <c r="M47" s="32" t="str">
        <f t="shared" si="1"/>
        <v xml:space="preserve"> </v>
      </c>
      <c r="N47" s="32"/>
      <c r="O47" s="32"/>
    </row>
    <row r="48" spans="1:15" x14ac:dyDescent="0.25">
      <c r="A48" s="25">
        <f t="shared" si="0"/>
        <v>39</v>
      </c>
      <c r="B48" s="27"/>
      <c r="C48" s="27"/>
      <c r="D48" s="34">
        <v>448</v>
      </c>
      <c r="E48" s="27"/>
      <c r="F48" s="29">
        <v>0.01</v>
      </c>
      <c r="G48" s="27"/>
      <c r="H48" s="35"/>
      <c r="I48" s="27"/>
      <c r="J48" s="31" t="s">
        <v>40</v>
      </c>
      <c r="K48" s="31" t="s">
        <v>39</v>
      </c>
      <c r="L48" s="27"/>
      <c r="M48" s="32" t="str">
        <f t="shared" si="1"/>
        <v xml:space="preserve"> </v>
      </c>
      <c r="N48" s="32"/>
      <c r="O48" s="32"/>
    </row>
    <row r="49" spans="1:15" x14ac:dyDescent="0.25">
      <c r="A49" s="25">
        <f t="shared" si="0"/>
        <v>40</v>
      </c>
      <c r="B49" s="27"/>
      <c r="C49" s="27"/>
      <c r="D49" s="34">
        <v>449</v>
      </c>
      <c r="E49" s="27"/>
      <c r="F49" s="29">
        <v>0.02</v>
      </c>
      <c r="G49" s="27"/>
      <c r="H49" s="35"/>
      <c r="I49" s="27"/>
      <c r="J49" s="31" t="s">
        <v>40</v>
      </c>
      <c r="K49" s="31" t="s">
        <v>39</v>
      </c>
      <c r="L49" s="27"/>
      <c r="M49" s="32" t="str">
        <f t="shared" si="1"/>
        <v xml:space="preserve"> </v>
      </c>
      <c r="N49" s="32"/>
      <c r="O49" s="32"/>
    </row>
    <row r="50" spans="1:15" x14ac:dyDescent="0.25">
      <c r="A50" s="25">
        <f t="shared" si="0"/>
        <v>41</v>
      </c>
      <c r="B50" s="27"/>
      <c r="C50" s="27"/>
      <c r="D50" s="34">
        <v>450</v>
      </c>
      <c r="E50" s="27"/>
      <c r="F50" s="29">
        <v>0.02</v>
      </c>
      <c r="G50" s="27"/>
      <c r="H50" s="35"/>
      <c r="I50" s="27"/>
      <c r="J50" s="31" t="s">
        <v>40</v>
      </c>
      <c r="K50" s="31" t="s">
        <v>39</v>
      </c>
      <c r="L50" s="27"/>
      <c r="M50" s="32" t="str">
        <f t="shared" si="1"/>
        <v xml:space="preserve"> </v>
      </c>
      <c r="N50" s="32"/>
      <c r="O50" s="32"/>
    </row>
    <row r="51" spans="1:15" x14ac:dyDescent="0.25">
      <c r="A51" s="25">
        <f t="shared" si="0"/>
        <v>42</v>
      </c>
      <c r="B51" s="27"/>
      <c r="C51" s="27"/>
      <c r="D51" s="34">
        <v>452</v>
      </c>
      <c r="E51" s="27"/>
      <c r="F51" s="29">
        <v>0.01</v>
      </c>
      <c r="G51" s="27" t="s">
        <v>43</v>
      </c>
      <c r="H51" s="36" t="s">
        <v>46</v>
      </c>
      <c r="I51" s="27">
        <v>1</v>
      </c>
      <c r="J51" s="31" t="s">
        <v>38</v>
      </c>
      <c r="K51" s="31" t="s">
        <v>39</v>
      </c>
      <c r="L51" s="27" t="s">
        <v>45</v>
      </c>
      <c r="M51" s="32">
        <f t="shared" si="1"/>
        <v>0.01</v>
      </c>
      <c r="N51" s="32">
        <v>101.25</v>
      </c>
      <c r="O51" s="32">
        <v>200</v>
      </c>
    </row>
    <row r="52" spans="1:15" x14ac:dyDescent="0.25">
      <c r="A52" s="25">
        <f t="shared" si="0"/>
        <v>43</v>
      </c>
      <c r="B52" s="27"/>
      <c r="C52" s="27"/>
      <c r="D52" s="34">
        <v>453</v>
      </c>
      <c r="E52" s="27"/>
      <c r="F52" s="29">
        <v>0.02</v>
      </c>
      <c r="G52" s="27"/>
      <c r="H52" s="35"/>
      <c r="I52" s="27"/>
      <c r="J52" s="31" t="s">
        <v>38</v>
      </c>
      <c r="K52" s="31" t="s">
        <v>39</v>
      </c>
      <c r="L52" s="27"/>
      <c r="M52" s="32" t="str">
        <f t="shared" si="1"/>
        <v xml:space="preserve"> </v>
      </c>
      <c r="N52" s="32"/>
      <c r="O52" s="32"/>
    </row>
    <row r="53" spans="1:15" x14ac:dyDescent="0.25">
      <c r="A53" s="25">
        <f t="shared" si="0"/>
        <v>44</v>
      </c>
      <c r="B53" s="27"/>
      <c r="C53" s="27"/>
      <c r="D53" s="34">
        <v>454</v>
      </c>
      <c r="E53" s="27"/>
      <c r="F53" s="29">
        <v>0.02</v>
      </c>
      <c r="G53" s="27"/>
      <c r="H53" s="35"/>
      <c r="I53" s="27"/>
      <c r="J53" s="31" t="s">
        <v>38</v>
      </c>
      <c r="K53" s="31" t="s">
        <v>39</v>
      </c>
      <c r="L53" s="27"/>
      <c r="M53" s="32" t="str">
        <f t="shared" si="1"/>
        <v xml:space="preserve"> </v>
      </c>
      <c r="N53" s="32"/>
      <c r="O53" s="32"/>
    </row>
    <row r="54" spans="1:15" x14ac:dyDescent="0.25">
      <c r="A54" s="25">
        <f t="shared" si="0"/>
        <v>45</v>
      </c>
      <c r="B54" s="27"/>
      <c r="C54" s="27"/>
      <c r="D54" s="34">
        <v>455</v>
      </c>
      <c r="E54" s="27"/>
      <c r="F54" s="29">
        <v>0.02</v>
      </c>
      <c r="G54" s="27"/>
      <c r="H54" s="35"/>
      <c r="I54" s="27"/>
      <c r="J54" s="31" t="s">
        <v>38</v>
      </c>
      <c r="K54" s="31" t="s">
        <v>39</v>
      </c>
      <c r="L54" s="27"/>
      <c r="M54" s="32" t="str">
        <f t="shared" si="1"/>
        <v xml:space="preserve"> </v>
      </c>
      <c r="N54" s="32"/>
      <c r="O54" s="32"/>
    </row>
    <row r="55" spans="1:15" x14ac:dyDescent="0.25">
      <c r="A55" s="25">
        <f t="shared" si="0"/>
        <v>46</v>
      </c>
      <c r="B55" s="27"/>
      <c r="C55" s="27"/>
      <c r="D55" s="34">
        <v>456</v>
      </c>
      <c r="E55" s="27"/>
      <c r="F55" s="29">
        <v>0.03</v>
      </c>
      <c r="G55" s="27"/>
      <c r="H55" s="35"/>
      <c r="I55" s="27"/>
      <c r="J55" s="31" t="s">
        <v>38</v>
      </c>
      <c r="K55" s="31" t="s">
        <v>39</v>
      </c>
      <c r="L55" s="27"/>
      <c r="M55" s="32" t="str">
        <f t="shared" si="1"/>
        <v xml:space="preserve"> </v>
      </c>
      <c r="N55" s="32"/>
      <c r="O55" s="32"/>
    </row>
    <row r="56" spans="1:15" x14ac:dyDescent="0.25">
      <c r="A56" s="25">
        <f t="shared" si="0"/>
        <v>47</v>
      </c>
      <c r="B56" s="27"/>
      <c r="C56" s="27"/>
      <c r="D56" s="34">
        <v>457</v>
      </c>
      <c r="E56" s="27"/>
      <c r="F56" s="29">
        <v>0.04</v>
      </c>
      <c r="G56" s="27"/>
      <c r="H56" s="35"/>
      <c r="I56" s="27"/>
      <c r="J56" s="31" t="s">
        <v>38</v>
      </c>
      <c r="K56" s="31" t="s">
        <v>39</v>
      </c>
      <c r="L56" s="27"/>
      <c r="M56" s="32" t="str">
        <f t="shared" si="1"/>
        <v xml:space="preserve"> </v>
      </c>
      <c r="N56" s="32"/>
      <c r="O56" s="32"/>
    </row>
    <row r="57" spans="1:15" x14ac:dyDescent="0.25">
      <c r="A57" s="25">
        <f t="shared" si="0"/>
        <v>48</v>
      </c>
      <c r="B57" s="27"/>
      <c r="C57" s="27"/>
      <c r="D57" s="34">
        <v>458</v>
      </c>
      <c r="E57" s="27"/>
      <c r="F57" s="29">
        <v>0.05</v>
      </c>
      <c r="G57" s="27"/>
      <c r="H57" s="35"/>
      <c r="I57" s="27"/>
      <c r="J57" s="31" t="s">
        <v>38</v>
      </c>
      <c r="K57" s="31" t="s">
        <v>39</v>
      </c>
      <c r="L57" s="27"/>
      <c r="M57" s="32" t="str">
        <f t="shared" si="1"/>
        <v xml:space="preserve"> </v>
      </c>
      <c r="N57" s="32"/>
      <c r="O57" s="32"/>
    </row>
    <row r="58" spans="1:15" x14ac:dyDescent="0.25">
      <c r="A58" s="25">
        <f t="shared" si="0"/>
        <v>49</v>
      </c>
      <c r="B58" s="27"/>
      <c r="C58" s="27"/>
      <c r="D58" s="34">
        <v>459</v>
      </c>
      <c r="E58" s="27"/>
      <c r="F58" s="29">
        <v>0.02</v>
      </c>
      <c r="G58" s="27"/>
      <c r="H58" s="35"/>
      <c r="I58" s="27"/>
      <c r="J58" s="31" t="s">
        <v>38</v>
      </c>
      <c r="K58" s="31" t="s">
        <v>39</v>
      </c>
      <c r="L58" s="27"/>
      <c r="M58" s="32" t="str">
        <f t="shared" si="1"/>
        <v xml:space="preserve"> </v>
      </c>
      <c r="N58" s="32"/>
      <c r="O58" s="32"/>
    </row>
    <row r="59" spans="1:15" x14ac:dyDescent="0.25">
      <c r="A59" s="25">
        <f t="shared" si="0"/>
        <v>50</v>
      </c>
      <c r="B59" s="27"/>
      <c r="C59" s="27"/>
      <c r="D59" s="34">
        <v>486</v>
      </c>
      <c r="E59" s="27"/>
      <c r="F59" s="29">
        <v>0.01</v>
      </c>
      <c r="G59" s="27" t="s">
        <v>43</v>
      </c>
      <c r="H59" s="37">
        <v>1918</v>
      </c>
      <c r="I59" s="27">
        <v>2</v>
      </c>
      <c r="J59" s="31" t="s">
        <v>40</v>
      </c>
      <c r="K59" s="31" t="s">
        <v>39</v>
      </c>
      <c r="L59" s="27" t="s">
        <v>278</v>
      </c>
      <c r="M59" s="32">
        <f t="shared" si="1"/>
        <v>0.02</v>
      </c>
      <c r="N59" s="32">
        <v>3.7</v>
      </c>
      <c r="O59" s="32">
        <v>17.5</v>
      </c>
    </row>
    <row r="60" spans="1:15" s="133" customFormat="1" x14ac:dyDescent="0.25">
      <c r="A60" s="123">
        <f t="shared" si="0"/>
        <v>51</v>
      </c>
      <c r="B60" s="124" t="s">
        <v>36</v>
      </c>
      <c r="C60" s="125"/>
      <c r="D60" s="134">
        <v>487</v>
      </c>
      <c r="E60" s="125"/>
      <c r="F60" s="138">
        <v>0.02</v>
      </c>
      <c r="G60" s="125" t="s">
        <v>43</v>
      </c>
      <c r="H60" s="137" t="s">
        <v>48</v>
      </c>
      <c r="I60" s="125">
        <v>2</v>
      </c>
      <c r="J60" s="130" t="s">
        <v>40</v>
      </c>
      <c r="K60" s="130" t="s">
        <v>39</v>
      </c>
      <c r="L60" s="125" t="s">
        <v>47</v>
      </c>
      <c r="M60" s="131">
        <f t="shared" si="1"/>
        <v>0.04</v>
      </c>
      <c r="N60" s="139">
        <v>112</v>
      </c>
      <c r="O60" s="131">
        <v>175</v>
      </c>
    </row>
    <row r="61" spans="1:15" s="133" customFormat="1" x14ac:dyDescent="0.25">
      <c r="A61" s="123">
        <f t="shared" si="0"/>
        <v>52</v>
      </c>
      <c r="B61" s="125"/>
      <c r="C61" s="125"/>
      <c r="D61" s="134">
        <v>488</v>
      </c>
      <c r="E61" s="125"/>
      <c r="F61" s="127">
        <v>0.02</v>
      </c>
      <c r="G61" s="125" t="s">
        <v>43</v>
      </c>
      <c r="H61" s="140">
        <v>1919</v>
      </c>
      <c r="I61" s="125">
        <v>2</v>
      </c>
      <c r="J61" s="130" t="s">
        <v>40</v>
      </c>
      <c r="K61" s="130" t="s">
        <v>39</v>
      </c>
      <c r="L61" s="125" t="s">
        <v>49</v>
      </c>
      <c r="M61" s="131">
        <f t="shared" si="1"/>
        <v>0.04</v>
      </c>
      <c r="N61" s="131">
        <v>28</v>
      </c>
      <c r="O61" s="131">
        <v>90</v>
      </c>
    </row>
    <row r="62" spans="1:15" x14ac:dyDescent="0.25">
      <c r="A62" s="25">
        <f t="shared" si="0"/>
        <v>53</v>
      </c>
      <c r="B62" s="27"/>
      <c r="C62" s="27"/>
      <c r="D62" s="34">
        <v>489</v>
      </c>
      <c r="E62" s="27"/>
      <c r="F62" s="29">
        <v>0.03</v>
      </c>
      <c r="G62" s="27" t="s">
        <v>43</v>
      </c>
      <c r="H62" s="36" t="s">
        <v>50</v>
      </c>
      <c r="I62" s="27">
        <v>2</v>
      </c>
      <c r="J62" s="31" t="s">
        <v>40</v>
      </c>
      <c r="K62" s="31" t="s">
        <v>39</v>
      </c>
      <c r="L62" s="27" t="s">
        <v>49</v>
      </c>
      <c r="M62" s="32">
        <f t="shared" si="1"/>
        <v>0.06</v>
      </c>
      <c r="N62" s="32">
        <v>30</v>
      </c>
      <c r="O62" s="32">
        <v>70</v>
      </c>
    </row>
    <row r="63" spans="1:15" x14ac:dyDescent="0.25">
      <c r="A63" s="25">
        <f t="shared" si="0"/>
        <v>54</v>
      </c>
      <c r="B63" s="27"/>
      <c r="C63" s="27"/>
      <c r="D63" s="34">
        <v>490</v>
      </c>
      <c r="E63" s="27"/>
      <c r="F63" s="29">
        <v>0.01</v>
      </c>
      <c r="G63" s="27" t="s">
        <v>43</v>
      </c>
      <c r="H63" s="36" t="s">
        <v>48</v>
      </c>
      <c r="I63" s="27">
        <v>2</v>
      </c>
      <c r="J63" s="31" t="s">
        <v>38</v>
      </c>
      <c r="K63" s="31" t="s">
        <v>39</v>
      </c>
      <c r="L63" s="27" t="s">
        <v>49</v>
      </c>
      <c r="M63" s="32">
        <f t="shared" si="1"/>
        <v>0.02</v>
      </c>
      <c r="N63" s="32">
        <v>5.4</v>
      </c>
      <c r="O63" s="32">
        <v>7</v>
      </c>
    </row>
    <row r="64" spans="1:15" x14ac:dyDescent="0.25">
      <c r="A64" s="25">
        <f t="shared" si="0"/>
        <v>55</v>
      </c>
      <c r="B64" s="27"/>
      <c r="C64" s="27"/>
      <c r="D64" s="34">
        <v>491</v>
      </c>
      <c r="E64" s="27"/>
      <c r="F64" s="29">
        <v>0.02</v>
      </c>
      <c r="G64" s="27" t="s">
        <v>43</v>
      </c>
      <c r="H64" s="35"/>
      <c r="I64" s="27"/>
      <c r="J64" s="31" t="s">
        <v>38</v>
      </c>
      <c r="K64" s="31" t="s">
        <v>39</v>
      </c>
      <c r="L64" s="27"/>
      <c r="M64" s="32" t="str">
        <f t="shared" si="1"/>
        <v xml:space="preserve"> </v>
      </c>
      <c r="N64" s="32"/>
      <c r="O64" s="32"/>
    </row>
    <row r="65" spans="1:15" x14ac:dyDescent="0.25">
      <c r="A65" s="25">
        <f t="shared" si="0"/>
        <v>56</v>
      </c>
      <c r="B65" s="27"/>
      <c r="C65" s="27"/>
      <c r="D65" s="34">
        <v>492</v>
      </c>
      <c r="E65" s="27"/>
      <c r="F65" s="29">
        <v>0.02</v>
      </c>
      <c r="G65" s="27" t="s">
        <v>43</v>
      </c>
      <c r="H65" s="37">
        <v>1917</v>
      </c>
      <c r="I65" s="27">
        <v>2</v>
      </c>
      <c r="J65" s="31" t="s">
        <v>38</v>
      </c>
      <c r="K65" s="31" t="s">
        <v>39</v>
      </c>
      <c r="L65" s="27" t="s">
        <v>276</v>
      </c>
      <c r="M65" s="32">
        <f t="shared" si="1"/>
        <v>0.04</v>
      </c>
      <c r="N65" s="32">
        <v>49</v>
      </c>
      <c r="O65" s="32">
        <v>210</v>
      </c>
    </row>
    <row r="66" spans="1:15" s="133" customFormat="1" x14ac:dyDescent="0.25">
      <c r="A66" s="123">
        <f t="shared" si="0"/>
        <v>57</v>
      </c>
      <c r="B66" s="125"/>
      <c r="C66" s="125"/>
      <c r="D66" s="134">
        <v>493</v>
      </c>
      <c r="E66" s="125"/>
      <c r="F66" s="127">
        <v>0.03</v>
      </c>
      <c r="G66" s="125" t="s">
        <v>43</v>
      </c>
      <c r="H66" s="140">
        <v>1917</v>
      </c>
      <c r="I66" s="125">
        <v>2</v>
      </c>
      <c r="J66" s="130" t="s">
        <v>38</v>
      </c>
      <c r="K66" s="130" t="s">
        <v>39</v>
      </c>
      <c r="L66" s="125" t="s">
        <v>47</v>
      </c>
      <c r="M66" s="131">
        <f t="shared" si="1"/>
        <v>0.06</v>
      </c>
      <c r="N66" s="131">
        <v>105</v>
      </c>
      <c r="O66" s="131">
        <v>150</v>
      </c>
    </row>
    <row r="67" spans="1:15" x14ac:dyDescent="0.25">
      <c r="A67" s="25">
        <f t="shared" si="0"/>
        <v>58</v>
      </c>
      <c r="B67" s="27"/>
      <c r="C67" s="27"/>
      <c r="D67" s="34">
        <v>494</v>
      </c>
      <c r="E67" s="27"/>
      <c r="F67" s="29">
        <v>0.03</v>
      </c>
      <c r="G67" s="27" t="s">
        <v>43</v>
      </c>
      <c r="H67" s="36" t="s">
        <v>51</v>
      </c>
      <c r="I67" s="27">
        <v>2</v>
      </c>
      <c r="J67" s="31" t="s">
        <v>38</v>
      </c>
      <c r="K67" s="31" t="s">
        <v>39</v>
      </c>
      <c r="L67" s="27" t="s">
        <v>49</v>
      </c>
      <c r="M67" s="32">
        <f t="shared" si="1"/>
        <v>0.06</v>
      </c>
      <c r="N67" s="32">
        <v>98</v>
      </c>
      <c r="O67" s="32">
        <v>160</v>
      </c>
    </row>
    <row r="68" spans="1:15" x14ac:dyDescent="0.25">
      <c r="A68" s="25">
        <f t="shared" si="0"/>
        <v>59</v>
      </c>
      <c r="B68" s="27"/>
      <c r="C68" s="27"/>
      <c r="D68" s="34">
        <v>495</v>
      </c>
      <c r="E68" s="27"/>
      <c r="F68" s="29">
        <v>0.04</v>
      </c>
      <c r="G68" s="27" t="s">
        <v>43</v>
      </c>
      <c r="H68" s="37">
        <v>1917</v>
      </c>
      <c r="I68" s="27">
        <v>2</v>
      </c>
      <c r="J68" s="31" t="s">
        <v>38</v>
      </c>
      <c r="K68" s="31" t="s">
        <v>39</v>
      </c>
      <c r="L68" s="27" t="s">
        <v>278</v>
      </c>
      <c r="M68" s="32">
        <f t="shared" si="1"/>
        <v>0.08</v>
      </c>
      <c r="N68" s="32">
        <v>63</v>
      </c>
      <c r="O68" s="32">
        <v>225</v>
      </c>
    </row>
    <row r="69" spans="1:15" x14ac:dyDescent="0.25">
      <c r="A69" s="25">
        <f t="shared" si="0"/>
        <v>60</v>
      </c>
      <c r="B69" s="27"/>
      <c r="C69" s="27"/>
      <c r="D69" s="34">
        <v>496</v>
      </c>
      <c r="E69" s="27"/>
      <c r="F69" s="29">
        <v>0.05</v>
      </c>
      <c r="G69" s="27" t="s">
        <v>43</v>
      </c>
      <c r="H69" s="36" t="s">
        <v>52</v>
      </c>
      <c r="I69" s="27">
        <v>2</v>
      </c>
      <c r="J69" s="31" t="s">
        <v>38</v>
      </c>
      <c r="K69" s="31" t="s">
        <v>39</v>
      </c>
      <c r="L69" s="27" t="s">
        <v>278</v>
      </c>
      <c r="M69" s="32">
        <f t="shared" si="1"/>
        <v>0.1</v>
      </c>
      <c r="N69" s="32">
        <v>29.4</v>
      </c>
      <c r="O69" s="32">
        <v>80</v>
      </c>
    </row>
    <row r="70" spans="1:15" s="133" customFormat="1" x14ac:dyDescent="0.25">
      <c r="A70" s="123">
        <f t="shared" si="0"/>
        <v>61</v>
      </c>
      <c r="B70" s="125"/>
      <c r="C70" s="125"/>
      <c r="D70" s="134">
        <v>497</v>
      </c>
      <c r="E70" s="125"/>
      <c r="F70" s="127">
        <v>0.1</v>
      </c>
      <c r="G70" s="125" t="s">
        <v>41</v>
      </c>
      <c r="H70" s="137" t="s">
        <v>53</v>
      </c>
      <c r="I70" s="125">
        <v>2</v>
      </c>
      <c r="J70" s="130" t="s">
        <v>38</v>
      </c>
      <c r="K70" s="130" t="s">
        <v>39</v>
      </c>
      <c r="L70" s="125" t="s">
        <v>47</v>
      </c>
      <c r="M70" s="131">
        <f t="shared" si="1"/>
        <v>0.2</v>
      </c>
      <c r="N70" s="131">
        <v>110</v>
      </c>
      <c r="O70" s="131">
        <v>185</v>
      </c>
    </row>
    <row r="71" spans="1:15" x14ac:dyDescent="0.25">
      <c r="A71" s="25">
        <f t="shared" si="0"/>
        <v>62</v>
      </c>
      <c r="B71" s="27"/>
      <c r="C71" s="27"/>
      <c r="D71" s="34">
        <v>597</v>
      </c>
      <c r="E71" s="27"/>
      <c r="F71" s="29">
        <v>0.01</v>
      </c>
      <c r="G71" s="27" t="s">
        <v>41</v>
      </c>
      <c r="H71" s="36" t="s">
        <v>54</v>
      </c>
      <c r="I71" s="27">
        <v>2</v>
      </c>
      <c r="J71" s="31" t="s">
        <v>38</v>
      </c>
      <c r="K71" s="31" t="s">
        <v>39</v>
      </c>
      <c r="L71" s="27" t="s">
        <v>276</v>
      </c>
      <c r="M71" s="32">
        <f t="shared" si="1"/>
        <v>0.02</v>
      </c>
      <c r="N71" s="32">
        <v>1.5</v>
      </c>
      <c r="O71" s="32">
        <v>14</v>
      </c>
    </row>
    <row r="72" spans="1:15" x14ac:dyDescent="0.25">
      <c r="A72" s="25">
        <f t="shared" si="0"/>
        <v>63</v>
      </c>
      <c r="B72" s="27"/>
      <c r="C72" s="27"/>
      <c r="D72" s="34">
        <v>598</v>
      </c>
      <c r="E72" s="27"/>
      <c r="F72" s="29">
        <v>1.4999999999999999E-2</v>
      </c>
      <c r="G72" s="27" t="s">
        <v>55</v>
      </c>
      <c r="H72" s="36" t="s">
        <v>56</v>
      </c>
      <c r="I72" s="27">
        <v>2</v>
      </c>
      <c r="J72" s="31" t="s">
        <v>38</v>
      </c>
      <c r="K72" s="31" t="s">
        <v>39</v>
      </c>
      <c r="L72" s="27" t="s">
        <v>49</v>
      </c>
      <c r="M72" s="32">
        <f t="shared" si="1"/>
        <v>0.03</v>
      </c>
      <c r="N72" s="32">
        <v>2</v>
      </c>
      <c r="O72" s="32">
        <v>9</v>
      </c>
    </row>
    <row r="73" spans="1:15" x14ac:dyDescent="0.25">
      <c r="A73" s="25">
        <f t="shared" si="0"/>
        <v>64</v>
      </c>
      <c r="B73" s="27"/>
      <c r="C73" s="27"/>
      <c r="D73" s="34">
        <v>599</v>
      </c>
      <c r="E73" s="27"/>
      <c r="F73" s="29">
        <v>0.02</v>
      </c>
      <c r="G73" s="27" t="s">
        <v>43</v>
      </c>
      <c r="H73" s="39" t="s">
        <v>54</v>
      </c>
      <c r="I73" s="27">
        <v>2</v>
      </c>
      <c r="J73" s="31" t="s">
        <v>38</v>
      </c>
      <c r="K73" s="31" t="s">
        <v>39</v>
      </c>
      <c r="L73" s="27" t="s">
        <v>49</v>
      </c>
      <c r="M73" s="32">
        <f t="shared" si="1"/>
        <v>0.04</v>
      </c>
      <c r="N73" s="32">
        <v>2.25</v>
      </c>
      <c r="O73" s="32">
        <v>4.5</v>
      </c>
    </row>
    <row r="74" spans="1:15" x14ac:dyDescent="0.25">
      <c r="A74" s="25">
        <f t="shared" si="0"/>
        <v>65</v>
      </c>
      <c r="B74" s="27"/>
      <c r="C74" s="27"/>
      <c r="D74" s="28" t="s">
        <v>57</v>
      </c>
      <c r="E74" s="27"/>
      <c r="F74" s="29">
        <v>0.02</v>
      </c>
      <c r="G74" s="27" t="s">
        <v>43</v>
      </c>
      <c r="H74" s="39" t="s">
        <v>58</v>
      </c>
      <c r="I74" s="27">
        <v>2</v>
      </c>
      <c r="J74" s="31" t="s">
        <v>38</v>
      </c>
      <c r="K74" s="31" t="s">
        <v>39</v>
      </c>
      <c r="L74" s="27" t="s">
        <v>47</v>
      </c>
      <c r="M74" s="32">
        <f t="shared" si="1"/>
        <v>0.04</v>
      </c>
      <c r="N74" s="32">
        <v>495</v>
      </c>
      <c r="O74" s="32">
        <v>800</v>
      </c>
    </row>
    <row r="75" spans="1:15" x14ac:dyDescent="0.25">
      <c r="A75" s="25">
        <f t="shared" ref="A75:A86" si="2">A74+1</f>
        <v>66</v>
      </c>
      <c r="B75" s="27"/>
      <c r="C75" s="27"/>
      <c r="D75" s="34">
        <v>600</v>
      </c>
      <c r="E75" s="27"/>
      <c r="F75" s="29">
        <v>0.03</v>
      </c>
      <c r="G75" s="27" t="s">
        <v>59</v>
      </c>
      <c r="H75" s="36" t="s">
        <v>60</v>
      </c>
      <c r="I75" s="27">
        <v>2</v>
      </c>
      <c r="J75" s="31" t="s">
        <v>38</v>
      </c>
      <c r="K75" s="31" t="s">
        <v>39</v>
      </c>
      <c r="L75" s="27" t="s">
        <v>49</v>
      </c>
      <c r="M75" s="32">
        <f t="shared" si="1"/>
        <v>0.06</v>
      </c>
      <c r="N75" s="32">
        <v>12</v>
      </c>
      <c r="O75" s="32">
        <v>50</v>
      </c>
    </row>
    <row r="76" spans="1:15" x14ac:dyDescent="0.25">
      <c r="A76" s="25">
        <f t="shared" si="2"/>
        <v>67</v>
      </c>
      <c r="B76" s="27"/>
      <c r="C76" s="27"/>
      <c r="D76" s="34">
        <v>601</v>
      </c>
      <c r="E76" s="27"/>
      <c r="F76" s="29">
        <v>0.04</v>
      </c>
      <c r="G76" s="27" t="s">
        <v>61</v>
      </c>
      <c r="H76" s="36" t="s">
        <v>54</v>
      </c>
      <c r="I76" s="27">
        <v>2</v>
      </c>
      <c r="J76" s="31" t="s">
        <v>38</v>
      </c>
      <c r="K76" s="31" t="s">
        <v>39</v>
      </c>
      <c r="L76" s="27" t="s">
        <v>49</v>
      </c>
      <c r="M76" s="32">
        <f t="shared" ref="M76:M87" si="3">IF(F76*I76&gt;0,F76*I76," ")</f>
        <v>0.08</v>
      </c>
      <c r="N76" s="32">
        <v>26</v>
      </c>
      <c r="O76" s="32">
        <v>55</v>
      </c>
    </row>
    <row r="77" spans="1:15" x14ac:dyDescent="0.25">
      <c r="A77" s="25">
        <f t="shared" si="2"/>
        <v>68</v>
      </c>
      <c r="B77" s="27"/>
      <c r="C77" s="27"/>
      <c r="D77" s="34">
        <v>602</v>
      </c>
      <c r="E77" s="27"/>
      <c r="F77" s="29">
        <v>0.05</v>
      </c>
      <c r="G77" s="27" t="s">
        <v>62</v>
      </c>
      <c r="H77" s="36" t="s">
        <v>60</v>
      </c>
      <c r="I77" s="27">
        <v>2</v>
      </c>
      <c r="J77" s="31" t="s">
        <v>38</v>
      </c>
      <c r="K77" s="31" t="s">
        <v>39</v>
      </c>
      <c r="L77" s="27" t="s">
        <v>49</v>
      </c>
      <c r="M77" s="32">
        <f t="shared" si="3"/>
        <v>0.1</v>
      </c>
      <c r="N77" s="32">
        <v>11</v>
      </c>
      <c r="O77" s="32">
        <v>22.5</v>
      </c>
    </row>
    <row r="78" spans="1:15" x14ac:dyDescent="0.25">
      <c r="A78" s="25">
        <f t="shared" si="2"/>
        <v>69</v>
      </c>
      <c r="B78" s="27"/>
      <c r="C78" s="27"/>
      <c r="D78" s="34">
        <v>603</v>
      </c>
      <c r="E78" s="27"/>
      <c r="F78" s="29">
        <v>0.1</v>
      </c>
      <c r="G78" s="27" t="s">
        <v>63</v>
      </c>
      <c r="H78" s="36" t="s">
        <v>60</v>
      </c>
      <c r="I78" s="27">
        <v>2</v>
      </c>
      <c r="J78" s="31" t="s">
        <v>38</v>
      </c>
      <c r="K78" s="31" t="s">
        <v>39</v>
      </c>
      <c r="L78" s="27" t="s">
        <v>276</v>
      </c>
      <c r="M78" s="32">
        <f t="shared" si="3"/>
        <v>0.2</v>
      </c>
      <c r="N78" s="32">
        <v>20</v>
      </c>
      <c r="O78" s="32">
        <v>72.5</v>
      </c>
    </row>
    <row r="79" spans="1:15" x14ac:dyDescent="0.25">
      <c r="A79" s="25">
        <f t="shared" si="2"/>
        <v>70</v>
      </c>
      <c r="B79" s="27"/>
      <c r="C79" s="27"/>
      <c r="D79" s="34">
        <v>604</v>
      </c>
      <c r="E79" s="27"/>
      <c r="F79" s="29">
        <v>0.01</v>
      </c>
      <c r="G79" s="27" t="s">
        <v>41</v>
      </c>
      <c r="H79" s="36" t="s">
        <v>60</v>
      </c>
      <c r="I79" s="27">
        <v>2</v>
      </c>
      <c r="J79" s="31" t="s">
        <v>40</v>
      </c>
      <c r="K79" s="31" t="s">
        <v>39</v>
      </c>
      <c r="L79" s="27" t="s">
        <v>47</v>
      </c>
      <c r="M79" s="32">
        <f t="shared" si="3"/>
        <v>0.02</v>
      </c>
      <c r="N79" s="32">
        <v>3.25</v>
      </c>
      <c r="O79" s="32">
        <v>4.7</v>
      </c>
    </row>
    <row r="80" spans="1:15" x14ac:dyDescent="0.25">
      <c r="A80" s="25">
        <f t="shared" si="2"/>
        <v>71</v>
      </c>
      <c r="B80" s="27"/>
      <c r="C80" s="27"/>
      <c r="D80" s="34">
        <v>605</v>
      </c>
      <c r="E80" s="27"/>
      <c r="F80" s="29">
        <v>1.4999999999999999E-2</v>
      </c>
      <c r="G80" s="27" t="s">
        <v>55</v>
      </c>
      <c r="H80" s="36" t="s">
        <v>56</v>
      </c>
      <c r="I80" s="27">
        <v>2</v>
      </c>
      <c r="J80" s="31" t="s">
        <v>40</v>
      </c>
      <c r="K80" s="31" t="s">
        <v>39</v>
      </c>
      <c r="L80" s="27" t="s">
        <v>276</v>
      </c>
      <c r="M80" s="32">
        <f t="shared" si="3"/>
        <v>0.03</v>
      </c>
      <c r="N80" s="32">
        <v>2</v>
      </c>
      <c r="O80" s="32">
        <v>16</v>
      </c>
    </row>
    <row r="81" spans="1:15" x14ac:dyDescent="0.25">
      <c r="A81" s="25">
        <f t="shared" si="2"/>
        <v>72</v>
      </c>
      <c r="B81" s="27"/>
      <c r="C81" s="27"/>
      <c r="D81" s="34">
        <v>606</v>
      </c>
      <c r="E81" s="27"/>
      <c r="F81" s="29">
        <v>0.02</v>
      </c>
      <c r="G81" s="27" t="s">
        <v>43</v>
      </c>
      <c r="H81" s="36" t="s">
        <v>54</v>
      </c>
      <c r="I81" s="27">
        <v>2</v>
      </c>
      <c r="J81" s="31" t="s">
        <v>40</v>
      </c>
      <c r="K81" s="31" t="s">
        <v>39</v>
      </c>
      <c r="L81" s="27" t="s">
        <v>277</v>
      </c>
      <c r="M81" s="32">
        <f t="shared" si="3"/>
        <v>0.04</v>
      </c>
      <c r="N81" s="32">
        <v>2</v>
      </c>
      <c r="O81" s="32">
        <v>60</v>
      </c>
    </row>
    <row r="82" spans="1:15" x14ac:dyDescent="0.25">
      <c r="A82" s="25">
        <f t="shared" si="2"/>
        <v>73</v>
      </c>
      <c r="B82" s="27"/>
      <c r="C82" s="27"/>
      <c r="D82" s="34">
        <v>656</v>
      </c>
      <c r="E82" s="27"/>
      <c r="F82" s="29">
        <v>0.02</v>
      </c>
      <c r="G82" s="40" t="s">
        <v>64</v>
      </c>
      <c r="H82" s="36" t="s">
        <v>58</v>
      </c>
      <c r="I82" s="27">
        <v>2</v>
      </c>
      <c r="J82" s="31" t="s">
        <v>38</v>
      </c>
      <c r="K82" s="31" t="s">
        <v>39</v>
      </c>
      <c r="L82" s="27" t="s">
        <v>47</v>
      </c>
      <c r="M82" s="32">
        <f t="shared" si="3"/>
        <v>0.04</v>
      </c>
      <c r="N82" s="32">
        <v>20</v>
      </c>
      <c r="O82" s="32">
        <v>80</v>
      </c>
    </row>
    <row r="83" spans="1:15" x14ac:dyDescent="0.25">
      <c r="A83" s="25">
        <f t="shared" si="2"/>
        <v>74</v>
      </c>
      <c r="B83" s="27"/>
      <c r="C83" s="27"/>
      <c r="D83" s="34">
        <v>686</v>
      </c>
      <c r="E83" s="27"/>
      <c r="F83" s="29">
        <v>1.4999999999999999E-2</v>
      </c>
      <c r="G83" s="27" t="s">
        <v>55</v>
      </c>
      <c r="H83" s="36" t="s">
        <v>65</v>
      </c>
      <c r="I83" s="27">
        <v>2</v>
      </c>
      <c r="J83" s="31" t="s">
        <v>38</v>
      </c>
      <c r="K83" s="31" t="s">
        <v>39</v>
      </c>
      <c r="L83" s="27" t="s">
        <v>49</v>
      </c>
      <c r="M83" s="32">
        <f t="shared" si="3"/>
        <v>0.03</v>
      </c>
      <c r="N83" s="32">
        <v>5</v>
      </c>
      <c r="O83" s="32">
        <v>11.5</v>
      </c>
    </row>
    <row r="84" spans="1:15" x14ac:dyDescent="0.25">
      <c r="A84" s="25">
        <f t="shared" si="2"/>
        <v>75</v>
      </c>
      <c r="B84" s="27"/>
      <c r="C84" s="27"/>
      <c r="D84" s="34">
        <v>687</v>
      </c>
      <c r="E84" s="27"/>
      <c r="F84" s="29">
        <v>0.04</v>
      </c>
      <c r="G84" s="27" t="s">
        <v>66</v>
      </c>
      <c r="H84" s="36" t="s">
        <v>65</v>
      </c>
      <c r="I84" s="27">
        <v>2</v>
      </c>
      <c r="J84" s="31" t="s">
        <v>38</v>
      </c>
      <c r="K84" s="31" t="s">
        <v>39</v>
      </c>
      <c r="L84" s="27" t="s">
        <v>277</v>
      </c>
      <c r="M84" s="32">
        <f t="shared" si="3"/>
        <v>0.08</v>
      </c>
      <c r="N84" s="32">
        <v>14</v>
      </c>
      <c r="O84" s="32">
        <v>100</v>
      </c>
    </row>
    <row r="85" spans="1:15" x14ac:dyDescent="0.25">
      <c r="A85" s="25">
        <f t="shared" si="2"/>
        <v>76</v>
      </c>
      <c r="B85" s="27"/>
      <c r="C85" s="27"/>
      <c r="D85" s="34">
        <v>721</v>
      </c>
      <c r="E85" s="27"/>
      <c r="F85" s="29">
        <v>0.03</v>
      </c>
      <c r="G85" s="27" t="s">
        <v>43</v>
      </c>
      <c r="H85" s="36" t="s">
        <v>67</v>
      </c>
      <c r="I85" s="27">
        <v>2</v>
      </c>
      <c r="J85" s="31" t="s">
        <v>38</v>
      </c>
      <c r="K85" s="31" t="s">
        <v>39</v>
      </c>
      <c r="L85" s="27"/>
      <c r="M85" s="32">
        <f t="shared" si="3"/>
        <v>0.06</v>
      </c>
      <c r="N85" s="32">
        <v>7.5</v>
      </c>
      <c r="O85" s="32">
        <v>13</v>
      </c>
    </row>
    <row r="86" spans="1:15" x14ac:dyDescent="0.25">
      <c r="A86" s="25">
        <f t="shared" si="2"/>
        <v>77</v>
      </c>
      <c r="B86" s="27"/>
      <c r="C86" s="27"/>
      <c r="D86" s="34">
        <v>722</v>
      </c>
      <c r="E86" s="27"/>
      <c r="F86" s="29">
        <v>0.03</v>
      </c>
      <c r="G86" s="27" t="s">
        <v>43</v>
      </c>
      <c r="H86" s="36" t="s">
        <v>67</v>
      </c>
      <c r="I86" s="27">
        <v>2</v>
      </c>
      <c r="J86" s="31" t="s">
        <v>40</v>
      </c>
      <c r="K86" s="31" t="s">
        <v>39</v>
      </c>
      <c r="L86" s="27"/>
      <c r="M86" s="32">
        <f t="shared" si="3"/>
        <v>0.06</v>
      </c>
      <c r="N86" s="32">
        <v>4</v>
      </c>
      <c r="O86" s="32">
        <v>8</v>
      </c>
    </row>
    <row r="87" spans="1:15" ht="16.5" thickBot="1" x14ac:dyDescent="0.3">
      <c r="A87" s="25">
        <f>A86+1</f>
        <v>78</v>
      </c>
      <c r="B87" s="27"/>
      <c r="C87" s="27"/>
      <c r="D87" s="34">
        <v>723</v>
      </c>
      <c r="E87" s="27"/>
      <c r="F87" s="29">
        <v>0.06</v>
      </c>
      <c r="G87" s="27" t="s">
        <v>68</v>
      </c>
      <c r="H87" s="36" t="s">
        <v>67</v>
      </c>
      <c r="I87" s="27">
        <v>2</v>
      </c>
      <c r="J87" s="31" t="s">
        <v>38</v>
      </c>
      <c r="K87" s="31" t="s">
        <v>39</v>
      </c>
      <c r="L87" s="27"/>
      <c r="M87" s="32">
        <f t="shared" si="3"/>
        <v>0.12</v>
      </c>
      <c r="N87" s="32">
        <v>40</v>
      </c>
      <c r="O87" s="32">
        <v>82.5</v>
      </c>
    </row>
    <row r="88" spans="1:15" ht="16.5" thickTop="1" x14ac:dyDescent="0.25">
      <c r="A88" s="41"/>
      <c r="B88" s="42" t="s">
        <v>69</v>
      </c>
      <c r="C88" s="43"/>
      <c r="D88" s="44"/>
      <c r="E88" s="43"/>
      <c r="F88" s="45"/>
      <c r="G88" s="43"/>
      <c r="H88" s="43"/>
      <c r="I88" s="43"/>
      <c r="J88" s="46"/>
      <c r="K88" s="47"/>
      <c r="L88" s="47"/>
      <c r="M88" s="48"/>
      <c r="N88" s="49"/>
      <c r="O88" s="50"/>
    </row>
    <row r="89" spans="1:15" ht="16.5" thickBot="1" x14ac:dyDescent="0.3">
      <c r="A89" s="51"/>
      <c r="B89" s="52" t="s">
        <v>70</v>
      </c>
      <c r="C89" s="53"/>
      <c r="D89" s="54"/>
      <c r="E89" s="53"/>
      <c r="F89" s="55"/>
      <c r="G89" s="53"/>
      <c r="H89" s="53"/>
      <c r="I89" s="53"/>
      <c r="J89" s="56"/>
      <c r="K89" s="47"/>
      <c r="L89" s="57" t="s">
        <v>2</v>
      </c>
      <c r="M89" s="58"/>
      <c r="N89" s="58"/>
      <c r="O89" s="59"/>
    </row>
    <row r="90" spans="1:15" ht="16.5" thickTop="1" x14ac:dyDescent="0.25">
      <c r="A90" s="51"/>
      <c r="B90" s="52" t="s">
        <v>71</v>
      </c>
      <c r="C90" s="53"/>
      <c r="D90" s="54"/>
      <c r="E90" s="60"/>
      <c r="F90" s="61"/>
      <c r="G90" s="60"/>
      <c r="H90" s="60"/>
      <c r="I90" s="53"/>
      <c r="J90" s="56"/>
      <c r="K90" s="47"/>
      <c r="L90" s="62"/>
      <c r="M90" s="63"/>
      <c r="N90" s="63"/>
      <c r="O90" s="64"/>
    </row>
    <row r="91" spans="1:15" x14ac:dyDescent="0.25">
      <c r="A91" s="51"/>
      <c r="B91" s="52"/>
      <c r="C91" s="53"/>
      <c r="D91" s="54"/>
      <c r="E91" s="60"/>
      <c r="F91" s="61"/>
      <c r="G91" s="60"/>
      <c r="H91" s="60"/>
      <c r="I91" s="53"/>
      <c r="J91" s="56"/>
      <c r="K91" s="47"/>
      <c r="L91" s="65" t="s">
        <v>72</v>
      </c>
      <c r="M91" s="66"/>
      <c r="N91" s="67"/>
      <c r="O91" s="68">
        <f>SUM(M10:M87)</f>
        <v>1.8800000000000008</v>
      </c>
    </row>
    <row r="92" spans="1:15" x14ac:dyDescent="0.25">
      <c r="A92" s="51"/>
      <c r="B92" s="69" t="s">
        <v>73</v>
      </c>
      <c r="C92" s="53"/>
      <c r="D92" s="54"/>
      <c r="E92" s="60"/>
      <c r="F92" s="61"/>
      <c r="G92" s="60"/>
      <c r="H92" s="60"/>
      <c r="I92" s="53"/>
      <c r="J92" s="56"/>
      <c r="K92" s="47"/>
      <c r="L92" s="65" t="s">
        <v>74</v>
      </c>
      <c r="M92" s="66"/>
      <c r="N92" s="67"/>
      <c r="O92" s="68">
        <f>SUM(N10:N87)</f>
        <v>1594.25</v>
      </c>
    </row>
    <row r="93" spans="1:15" x14ac:dyDescent="0.25">
      <c r="A93" s="51"/>
      <c r="B93" s="69" t="s">
        <v>75</v>
      </c>
      <c r="C93" s="53"/>
      <c r="D93" s="54"/>
      <c r="E93" s="53"/>
      <c r="F93" s="55"/>
      <c r="G93" s="53"/>
      <c r="H93" s="53"/>
      <c r="I93" s="53"/>
      <c r="J93" s="56"/>
      <c r="K93" s="47"/>
      <c r="L93" s="65" t="s">
        <v>76</v>
      </c>
      <c r="M93" s="66"/>
      <c r="N93" s="67"/>
      <c r="O93" s="68">
        <f>SUM(O10:O87)</f>
        <v>3745.2</v>
      </c>
    </row>
    <row r="94" spans="1:15" ht="16.5" thickBot="1" x14ac:dyDescent="0.3">
      <c r="A94" s="70"/>
      <c r="B94" s="71" t="s">
        <v>77</v>
      </c>
      <c r="C94" s="72"/>
      <c r="D94" s="73"/>
      <c r="E94" s="72"/>
      <c r="F94" s="74"/>
      <c r="G94" s="72"/>
      <c r="H94" s="72"/>
      <c r="I94" s="72"/>
      <c r="J94" s="75"/>
      <c r="K94" s="76"/>
      <c r="L94" s="77" t="s">
        <v>78</v>
      </c>
      <c r="M94" s="78"/>
      <c r="N94" s="78"/>
      <c r="O94" s="79">
        <f>SUM(I10:I87)</f>
        <v>65</v>
      </c>
    </row>
    <row r="95" spans="1:15" ht="16.5" thickTop="1" x14ac:dyDescent="0.25">
      <c r="A95" s="80"/>
      <c r="B95" s="81" t="s">
        <v>268</v>
      </c>
      <c r="C95" s="82"/>
      <c r="D95" s="82"/>
      <c r="E95" s="82"/>
      <c r="F95" s="83"/>
      <c r="G95" s="82"/>
      <c r="H95" s="82"/>
      <c r="I95" s="82"/>
      <c r="J95" s="84"/>
      <c r="K95" s="82"/>
      <c r="L95" s="82"/>
      <c r="M95" s="83"/>
      <c r="N95" s="83"/>
      <c r="O95" s="85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&amp;LREGPNC01.XLS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O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2.42578125" style="11" customWidth="1"/>
    <col min="9" max="9" width="7.42578125" style="11" customWidth="1"/>
    <col min="10" max="10" width="6.140625" style="11" customWidth="1"/>
    <col min="11" max="11" width="11.28515625" style="11" customWidth="1"/>
    <col min="12" max="12" width="52.42578125" style="11" customWidth="1"/>
    <col min="13" max="14" width="10" style="11" customWidth="1"/>
    <col min="15" max="15" width="13.85546875" style="11" customWidth="1"/>
    <col min="16" max="16" width="2.28515625" style="11" customWidth="1"/>
    <col min="17" max="16384" width="12.5703125" style="11"/>
  </cols>
  <sheetData>
    <row r="1" spans="1:15" x14ac:dyDescent="0.25">
      <c r="N1" s="12" t="s">
        <v>15</v>
      </c>
    </row>
    <row r="3" spans="1:15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</row>
    <row r="4" spans="1:15" ht="30.75" x14ac:dyDescent="0.45">
      <c r="A4" s="13" t="s">
        <v>17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</row>
    <row r="5" spans="1:15" ht="30.75" x14ac:dyDescent="0.45">
      <c r="A5" s="13" t="s">
        <v>18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</row>
    <row r="6" spans="1:15" x14ac:dyDescent="0.25">
      <c r="N6" s="12" t="s">
        <v>3</v>
      </c>
    </row>
    <row r="8" spans="1:15" x14ac:dyDescent="0.25">
      <c r="A8" s="15" t="s">
        <v>19</v>
      </c>
      <c r="B8" s="16"/>
      <c r="C8" s="17" t="s">
        <v>20</v>
      </c>
      <c r="D8" s="18"/>
      <c r="E8" s="19"/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27</v>
      </c>
      <c r="M8" s="20" t="s">
        <v>5</v>
      </c>
      <c r="N8" s="20" t="s">
        <v>28</v>
      </c>
      <c r="O8" s="20" t="s">
        <v>29</v>
      </c>
    </row>
    <row r="9" spans="1:15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2"/>
      <c r="K9" s="24" t="s">
        <v>35</v>
      </c>
      <c r="L9" s="22"/>
      <c r="M9" s="24" t="s">
        <v>10</v>
      </c>
      <c r="N9" s="24" t="s">
        <v>11</v>
      </c>
      <c r="O9" s="24" t="s">
        <v>10</v>
      </c>
    </row>
    <row r="10" spans="1:15" ht="16.5" thickTop="1" x14ac:dyDescent="0.25">
      <c r="A10" s="25">
        <v>1</v>
      </c>
      <c r="B10" s="26" t="s">
        <v>36</v>
      </c>
      <c r="C10" s="27"/>
      <c r="D10" s="28">
        <v>839</v>
      </c>
      <c r="E10" s="27"/>
      <c r="F10" s="29">
        <v>0.01</v>
      </c>
      <c r="G10" s="40" t="s">
        <v>79</v>
      </c>
      <c r="H10" s="30">
        <f>DATE(39,1,20)</f>
        <v>14265</v>
      </c>
      <c r="I10" s="27">
        <v>2</v>
      </c>
      <c r="J10" s="31" t="s">
        <v>38</v>
      </c>
      <c r="K10" s="31" t="s">
        <v>39</v>
      </c>
      <c r="L10" s="27"/>
      <c r="M10" s="32">
        <f>IF(F10*I10&gt;0,F10*I10," ")</f>
        <v>0.02</v>
      </c>
      <c r="N10" s="86">
        <v>0.65</v>
      </c>
      <c r="O10" s="32">
        <v>1.4</v>
      </c>
    </row>
    <row r="11" spans="1:15" x14ac:dyDescent="0.25">
      <c r="A11" s="25">
        <f t="shared" ref="A11:A74" si="0">A10+1</f>
        <v>2</v>
      </c>
      <c r="B11" s="27"/>
      <c r="C11" s="27"/>
      <c r="D11" s="34">
        <v>840</v>
      </c>
      <c r="E11" s="34"/>
      <c r="F11" s="29">
        <v>1.4999999999999999E-2</v>
      </c>
      <c r="G11" s="40" t="s">
        <v>79</v>
      </c>
      <c r="H11" s="30">
        <f t="shared" ref="H11:H18" si="1">DATE(39,1,20)</f>
        <v>14265</v>
      </c>
      <c r="I11" s="27">
        <v>2</v>
      </c>
      <c r="J11" s="31" t="s">
        <v>38</v>
      </c>
      <c r="K11" s="31" t="s">
        <v>39</v>
      </c>
      <c r="L11" s="27"/>
      <c r="M11" s="32">
        <f>IF(F11*I11&gt;0,F11*I11," ")</f>
        <v>0.03</v>
      </c>
      <c r="N11" s="86">
        <f>O11*0.7</f>
        <v>1.0499999999999998</v>
      </c>
      <c r="O11" s="32">
        <v>1.5</v>
      </c>
    </row>
    <row r="12" spans="1:15" x14ac:dyDescent="0.25">
      <c r="A12" s="25">
        <f t="shared" si="0"/>
        <v>3</v>
      </c>
      <c r="B12" s="27"/>
      <c r="C12" s="27"/>
      <c r="D12" s="34">
        <v>841</v>
      </c>
      <c r="E12" s="34"/>
      <c r="F12" s="29">
        <v>0.02</v>
      </c>
      <c r="G12" s="40" t="s">
        <v>79</v>
      </c>
      <c r="H12" s="30">
        <f t="shared" si="1"/>
        <v>14265</v>
      </c>
      <c r="I12" s="27">
        <v>2</v>
      </c>
      <c r="J12" s="31" t="s">
        <v>38</v>
      </c>
      <c r="K12" s="31" t="s">
        <v>39</v>
      </c>
      <c r="L12" s="27"/>
      <c r="M12" s="32">
        <f t="shared" ref="M12:M75" si="2">IF(F12*I12&gt;0,F12*I12," ")</f>
        <v>0.04</v>
      </c>
      <c r="N12" s="86">
        <v>0.9</v>
      </c>
      <c r="O12" s="32">
        <v>1.75</v>
      </c>
    </row>
    <row r="13" spans="1:15" x14ac:dyDescent="0.25">
      <c r="A13" s="25">
        <f t="shared" si="0"/>
        <v>4</v>
      </c>
      <c r="B13" s="27"/>
      <c r="C13" s="27"/>
      <c r="D13" s="34">
        <v>842</v>
      </c>
      <c r="E13" s="34"/>
      <c r="F13" s="29">
        <v>0.03</v>
      </c>
      <c r="G13" s="40" t="s">
        <v>79</v>
      </c>
      <c r="H13" s="30">
        <f t="shared" si="1"/>
        <v>14265</v>
      </c>
      <c r="I13" s="27">
        <v>2</v>
      </c>
      <c r="J13" s="31" t="s">
        <v>38</v>
      </c>
      <c r="K13" s="31" t="s">
        <v>39</v>
      </c>
      <c r="L13" s="27"/>
      <c r="M13" s="32">
        <f t="shared" si="2"/>
        <v>0.06</v>
      </c>
      <c r="N13" s="86">
        <v>1</v>
      </c>
      <c r="O13" s="32">
        <v>2</v>
      </c>
    </row>
    <row r="14" spans="1:15" x14ac:dyDescent="0.25">
      <c r="A14" s="25">
        <f t="shared" si="0"/>
        <v>5</v>
      </c>
      <c r="B14" s="27"/>
      <c r="C14" s="27"/>
      <c r="D14" s="34">
        <v>843</v>
      </c>
      <c r="E14" s="34"/>
      <c r="F14" s="29">
        <v>0.04</v>
      </c>
      <c r="G14" s="40" t="s">
        <v>79</v>
      </c>
      <c r="H14" s="30">
        <f t="shared" si="1"/>
        <v>14265</v>
      </c>
      <c r="I14" s="27">
        <v>2</v>
      </c>
      <c r="J14" s="31" t="s">
        <v>38</v>
      </c>
      <c r="K14" s="31" t="s">
        <v>39</v>
      </c>
      <c r="L14" s="27"/>
      <c r="M14" s="32">
        <f t="shared" si="2"/>
        <v>0.08</v>
      </c>
      <c r="N14" s="86">
        <v>16</v>
      </c>
      <c r="O14" s="32">
        <v>27.5</v>
      </c>
    </row>
    <row r="15" spans="1:15" x14ac:dyDescent="0.25">
      <c r="A15" s="25">
        <f t="shared" si="0"/>
        <v>6</v>
      </c>
      <c r="B15" s="27"/>
      <c r="C15" s="27"/>
      <c r="D15" s="34">
        <v>844</v>
      </c>
      <c r="E15" s="34"/>
      <c r="F15" s="29">
        <v>4.4999999999999998E-2</v>
      </c>
      <c r="G15" s="40" t="s">
        <v>79</v>
      </c>
      <c r="H15" s="30">
        <f t="shared" si="1"/>
        <v>14265</v>
      </c>
      <c r="I15" s="27">
        <v>2</v>
      </c>
      <c r="J15" s="31" t="s">
        <v>38</v>
      </c>
      <c r="K15" s="31" t="s">
        <v>39</v>
      </c>
      <c r="L15" s="27"/>
      <c r="M15" s="32">
        <f t="shared" si="2"/>
        <v>0.09</v>
      </c>
      <c r="N15" s="86">
        <v>2.5</v>
      </c>
      <c r="O15" s="32">
        <v>5</v>
      </c>
    </row>
    <row r="16" spans="1:15" x14ac:dyDescent="0.25">
      <c r="A16" s="25">
        <f t="shared" si="0"/>
        <v>7</v>
      </c>
      <c r="B16" s="27"/>
      <c r="C16" s="27"/>
      <c r="D16" s="34">
        <v>845</v>
      </c>
      <c r="E16" s="34"/>
      <c r="F16" s="29">
        <v>0.05</v>
      </c>
      <c r="G16" s="40" t="s">
        <v>79</v>
      </c>
      <c r="H16" s="30">
        <f t="shared" si="1"/>
        <v>14265</v>
      </c>
      <c r="I16" s="27">
        <v>2</v>
      </c>
      <c r="J16" s="31" t="s">
        <v>38</v>
      </c>
      <c r="K16" s="31" t="s">
        <v>39</v>
      </c>
      <c r="L16" s="27"/>
      <c r="M16" s="32">
        <f t="shared" si="2"/>
        <v>0.1</v>
      </c>
      <c r="N16" s="86">
        <f>O16*0.7</f>
        <v>19.25</v>
      </c>
      <c r="O16" s="32">
        <v>27.5</v>
      </c>
    </row>
    <row r="17" spans="1:15" x14ac:dyDescent="0.25">
      <c r="A17" s="25">
        <f t="shared" si="0"/>
        <v>8</v>
      </c>
      <c r="B17" s="27"/>
      <c r="C17" s="27"/>
      <c r="D17" s="34">
        <v>846</v>
      </c>
      <c r="E17" s="34"/>
      <c r="F17" s="29">
        <v>0.06</v>
      </c>
      <c r="G17" s="40" t="s">
        <v>79</v>
      </c>
      <c r="H17" s="30">
        <f t="shared" si="1"/>
        <v>14265</v>
      </c>
      <c r="I17" s="27">
        <v>2</v>
      </c>
      <c r="J17" s="31" t="s">
        <v>38</v>
      </c>
      <c r="K17" s="31" t="s">
        <v>39</v>
      </c>
      <c r="L17" s="27"/>
      <c r="M17" s="32">
        <f t="shared" si="2"/>
        <v>0.12</v>
      </c>
      <c r="N17" s="86">
        <f>O17*0.7</f>
        <v>5.25</v>
      </c>
      <c r="O17" s="32">
        <v>7.5</v>
      </c>
    </row>
    <row r="18" spans="1:15" x14ac:dyDescent="0.25">
      <c r="A18" s="25">
        <f t="shared" si="0"/>
        <v>9</v>
      </c>
      <c r="B18" s="27"/>
      <c r="C18" s="27"/>
      <c r="D18" s="34">
        <v>847</v>
      </c>
      <c r="E18" s="34"/>
      <c r="F18" s="29">
        <v>0.1</v>
      </c>
      <c r="G18" s="40" t="s">
        <v>79</v>
      </c>
      <c r="H18" s="30">
        <f t="shared" si="1"/>
        <v>14265</v>
      </c>
      <c r="I18" s="27">
        <v>2</v>
      </c>
      <c r="J18" s="31" t="s">
        <v>38</v>
      </c>
      <c r="K18" s="31" t="s">
        <v>39</v>
      </c>
      <c r="L18" s="27"/>
      <c r="M18" s="32">
        <f t="shared" si="2"/>
        <v>0.2</v>
      </c>
      <c r="N18" s="32">
        <v>20</v>
      </c>
      <c r="O18" s="32">
        <v>42.5</v>
      </c>
    </row>
    <row r="19" spans="1:15" x14ac:dyDescent="0.25">
      <c r="A19" s="25">
        <f t="shared" si="0"/>
        <v>10</v>
      </c>
      <c r="B19" s="27"/>
      <c r="C19" s="27"/>
      <c r="D19" s="34">
        <v>848</v>
      </c>
      <c r="E19" s="34"/>
      <c r="F19" s="29">
        <v>0.01</v>
      </c>
      <c r="G19" s="40" t="s">
        <v>79</v>
      </c>
      <c r="H19" s="30">
        <f>DATE(39,1,27)</f>
        <v>14272</v>
      </c>
      <c r="I19" s="27">
        <v>2</v>
      </c>
      <c r="J19" s="31" t="s">
        <v>40</v>
      </c>
      <c r="K19" s="31" t="s">
        <v>39</v>
      </c>
      <c r="L19" s="27"/>
      <c r="M19" s="32">
        <f t="shared" si="2"/>
        <v>0.02</v>
      </c>
      <c r="N19" s="86">
        <f>O19*0.7</f>
        <v>1.9249999999999998</v>
      </c>
      <c r="O19" s="32">
        <v>2.75</v>
      </c>
    </row>
    <row r="20" spans="1:15" x14ac:dyDescent="0.25">
      <c r="A20" s="25">
        <f t="shared" si="0"/>
        <v>11</v>
      </c>
      <c r="B20" s="27"/>
      <c r="C20" s="27"/>
      <c r="D20" s="34">
        <v>849</v>
      </c>
      <c r="E20" s="34"/>
      <c r="F20" s="29">
        <v>1.4999999999999999E-2</v>
      </c>
      <c r="G20" s="40" t="s">
        <v>79</v>
      </c>
      <c r="H20" s="30">
        <f>DATE(39,1,27)</f>
        <v>14272</v>
      </c>
      <c r="I20" s="27">
        <v>2</v>
      </c>
      <c r="J20" s="31" t="s">
        <v>40</v>
      </c>
      <c r="K20" s="31" t="s">
        <v>39</v>
      </c>
      <c r="L20" s="27"/>
      <c r="M20" s="32">
        <f t="shared" si="2"/>
        <v>0.03</v>
      </c>
      <c r="N20" s="86">
        <v>2</v>
      </c>
      <c r="O20" s="32">
        <v>4.5</v>
      </c>
    </row>
    <row r="21" spans="1:15" x14ac:dyDescent="0.25">
      <c r="A21" s="25">
        <f t="shared" si="0"/>
        <v>12</v>
      </c>
      <c r="B21" s="27"/>
      <c r="C21" s="27"/>
      <c r="D21" s="34">
        <v>850</v>
      </c>
      <c r="E21" s="34"/>
      <c r="F21" s="29">
        <v>0.02</v>
      </c>
      <c r="G21" s="40" t="s">
        <v>79</v>
      </c>
      <c r="H21" s="30">
        <f>DATE(39,1,27)</f>
        <v>14272</v>
      </c>
      <c r="I21" s="27">
        <v>2</v>
      </c>
      <c r="J21" s="31" t="s">
        <v>40</v>
      </c>
      <c r="K21" s="31" t="s">
        <v>39</v>
      </c>
      <c r="L21" s="27"/>
      <c r="M21" s="32">
        <f t="shared" si="2"/>
        <v>0.04</v>
      </c>
      <c r="N21" s="86">
        <v>4</v>
      </c>
      <c r="O21" s="32">
        <v>7.5</v>
      </c>
    </row>
    <row r="22" spans="1:15" x14ac:dyDescent="0.25">
      <c r="A22" s="25">
        <f t="shared" si="0"/>
        <v>13</v>
      </c>
      <c r="B22" s="27"/>
      <c r="C22" s="27"/>
      <c r="D22" s="34">
        <v>851</v>
      </c>
      <c r="E22" s="34"/>
      <c r="F22" s="29">
        <v>0.03</v>
      </c>
      <c r="G22" s="40" t="s">
        <v>79</v>
      </c>
      <c r="H22" s="30">
        <f>DATE(39,1,27)</f>
        <v>14272</v>
      </c>
      <c r="I22" s="27">
        <v>2</v>
      </c>
      <c r="J22" s="31" t="s">
        <v>40</v>
      </c>
      <c r="K22" s="31" t="s">
        <v>39</v>
      </c>
      <c r="L22" s="27"/>
      <c r="M22" s="32">
        <f t="shared" si="2"/>
        <v>0.06</v>
      </c>
      <c r="N22" s="86">
        <f>O22*0.7</f>
        <v>5.9499999999999993</v>
      </c>
      <c r="O22" s="32">
        <v>8.5</v>
      </c>
    </row>
    <row r="23" spans="1:15" x14ac:dyDescent="0.25">
      <c r="A23" s="25">
        <v>14</v>
      </c>
      <c r="B23" s="27"/>
      <c r="C23" s="27"/>
      <c r="D23" s="34">
        <v>1054</v>
      </c>
      <c r="E23" s="34"/>
      <c r="F23" s="29">
        <v>0.01</v>
      </c>
      <c r="G23" s="34" t="s">
        <v>80</v>
      </c>
      <c r="H23" s="30">
        <f>DATE(54,10,8)</f>
        <v>20005</v>
      </c>
      <c r="I23" s="27">
        <v>2</v>
      </c>
      <c r="J23" s="31" t="s">
        <v>38</v>
      </c>
      <c r="K23" s="31" t="s">
        <v>39</v>
      </c>
      <c r="L23" s="27" t="s">
        <v>81</v>
      </c>
      <c r="M23" s="32">
        <f t="shared" si="2"/>
        <v>0.02</v>
      </c>
      <c r="N23" s="86">
        <v>1</v>
      </c>
      <c r="O23" s="32">
        <v>1</v>
      </c>
    </row>
    <row r="24" spans="1:15" x14ac:dyDescent="0.25">
      <c r="A24" s="25">
        <f t="shared" si="0"/>
        <v>15</v>
      </c>
      <c r="B24" s="27"/>
      <c r="C24" s="27"/>
      <c r="D24" s="28" t="s">
        <v>82</v>
      </c>
      <c r="E24" s="34"/>
      <c r="F24" s="29">
        <v>1.2500000000000001E-2</v>
      </c>
      <c r="G24" s="34" t="s">
        <v>80</v>
      </c>
      <c r="H24" s="30">
        <f>DATE(60,6,17)</f>
        <v>22084</v>
      </c>
      <c r="I24" s="27">
        <v>2</v>
      </c>
      <c r="J24" s="31" t="s">
        <v>40</v>
      </c>
      <c r="K24" s="31" t="s">
        <v>39</v>
      </c>
      <c r="L24" s="40" t="s">
        <v>83</v>
      </c>
      <c r="M24" s="32">
        <f t="shared" si="2"/>
        <v>2.5000000000000001E-2</v>
      </c>
      <c r="N24" s="86">
        <v>1.6</v>
      </c>
      <c r="O24" s="32">
        <v>2.25</v>
      </c>
    </row>
    <row r="25" spans="1:15" x14ac:dyDescent="0.25">
      <c r="A25" s="25">
        <f t="shared" si="0"/>
        <v>16</v>
      </c>
      <c r="B25" s="27"/>
      <c r="C25" s="27"/>
      <c r="D25" s="34">
        <v>1055</v>
      </c>
      <c r="E25" s="34"/>
      <c r="F25" s="29">
        <v>0.02</v>
      </c>
      <c r="G25" s="34" t="s">
        <v>80</v>
      </c>
      <c r="H25" s="30">
        <f>DATE(54,10,22)</f>
        <v>20019</v>
      </c>
      <c r="I25" s="27">
        <v>2</v>
      </c>
      <c r="J25" s="31" t="s">
        <v>38</v>
      </c>
      <c r="K25" s="31" t="s">
        <v>39</v>
      </c>
      <c r="L25" s="40" t="s">
        <v>84</v>
      </c>
      <c r="M25" s="32">
        <f t="shared" si="2"/>
        <v>0.04</v>
      </c>
      <c r="N25" s="86">
        <v>1</v>
      </c>
      <c r="O25" s="32">
        <v>1.5</v>
      </c>
    </row>
    <row r="26" spans="1:15" x14ac:dyDescent="0.25">
      <c r="A26" s="25">
        <f t="shared" si="0"/>
        <v>17</v>
      </c>
      <c r="B26" s="27"/>
      <c r="C26" s="27"/>
      <c r="D26" s="34">
        <v>1056</v>
      </c>
      <c r="E26" s="34"/>
      <c r="F26" s="29">
        <v>2.5000000000000001E-2</v>
      </c>
      <c r="G26" s="34" t="s">
        <v>80</v>
      </c>
      <c r="H26" s="30">
        <f>DATE(59,9,9)</f>
        <v>21802</v>
      </c>
      <c r="I26" s="27">
        <v>2</v>
      </c>
      <c r="J26" s="31" t="s">
        <v>38</v>
      </c>
      <c r="K26" s="31" t="s">
        <v>39</v>
      </c>
      <c r="L26" s="40" t="s">
        <v>84</v>
      </c>
      <c r="M26" s="32">
        <f t="shared" si="2"/>
        <v>0.05</v>
      </c>
      <c r="N26" s="86">
        <v>2.5</v>
      </c>
      <c r="O26" s="32">
        <v>3.5</v>
      </c>
    </row>
    <row r="27" spans="1:15" x14ac:dyDescent="0.25">
      <c r="A27" s="25">
        <f t="shared" si="0"/>
        <v>18</v>
      </c>
      <c r="B27" s="27"/>
      <c r="C27" s="27"/>
      <c r="D27" s="34">
        <v>1057</v>
      </c>
      <c r="E27" s="34"/>
      <c r="F27" s="29">
        <v>0.03</v>
      </c>
      <c r="G27" s="34" t="s">
        <v>80</v>
      </c>
      <c r="H27" s="30">
        <f>DATE(54,7,20)</f>
        <v>19925</v>
      </c>
      <c r="I27" s="27">
        <v>2</v>
      </c>
      <c r="J27" s="31" t="s">
        <v>38</v>
      </c>
      <c r="K27" s="31" t="s">
        <v>39</v>
      </c>
      <c r="L27" s="40" t="s">
        <v>81</v>
      </c>
      <c r="M27" s="32">
        <f t="shared" si="2"/>
        <v>0.06</v>
      </c>
      <c r="N27" s="86">
        <v>0.9</v>
      </c>
      <c r="O27" s="32">
        <v>0.55000000000000004</v>
      </c>
    </row>
    <row r="28" spans="1:15" x14ac:dyDescent="0.25">
      <c r="A28" s="25">
        <f t="shared" si="0"/>
        <v>19</v>
      </c>
      <c r="B28" s="27"/>
      <c r="C28" s="27"/>
      <c r="D28" s="34">
        <v>1058</v>
      </c>
      <c r="E28" s="34"/>
      <c r="F28" s="29">
        <v>0.04</v>
      </c>
      <c r="G28" s="34" t="s">
        <v>80</v>
      </c>
      <c r="H28" s="30">
        <f>DATE(58,7,31)</f>
        <v>21397</v>
      </c>
      <c r="I28" s="27">
        <v>2</v>
      </c>
      <c r="J28" s="31" t="s">
        <v>38</v>
      </c>
      <c r="K28" s="31" t="s">
        <v>39</v>
      </c>
      <c r="L28" s="40" t="s">
        <v>81</v>
      </c>
      <c r="M28" s="32">
        <f t="shared" si="2"/>
        <v>0.08</v>
      </c>
      <c r="N28" s="86">
        <v>0.45</v>
      </c>
      <c r="O28" s="32">
        <v>0.75</v>
      </c>
    </row>
    <row r="29" spans="1:15" x14ac:dyDescent="0.25">
      <c r="A29" s="25">
        <f t="shared" si="0"/>
        <v>20</v>
      </c>
      <c r="B29" s="27"/>
      <c r="C29" s="27"/>
      <c r="D29" s="34">
        <v>1059</v>
      </c>
      <c r="E29" s="34"/>
      <c r="F29" s="29">
        <v>4.4999999999999998E-2</v>
      </c>
      <c r="G29" s="34" t="s">
        <v>80</v>
      </c>
      <c r="H29" s="30">
        <f>DATE(59,5,1)</f>
        <v>21671</v>
      </c>
      <c r="I29" s="27">
        <v>2</v>
      </c>
      <c r="J29" s="31" t="s">
        <v>40</v>
      </c>
      <c r="K29" s="31" t="s">
        <v>39</v>
      </c>
      <c r="L29" s="40" t="s">
        <v>84</v>
      </c>
      <c r="M29" s="32">
        <f t="shared" si="2"/>
        <v>0.09</v>
      </c>
      <c r="N29" s="86">
        <v>10</v>
      </c>
      <c r="O29" s="32">
        <v>14</v>
      </c>
    </row>
    <row r="30" spans="1:15" x14ac:dyDescent="0.25">
      <c r="A30" s="25">
        <f t="shared" si="0"/>
        <v>21</v>
      </c>
      <c r="B30" s="27"/>
      <c r="C30" s="27"/>
      <c r="D30" s="28" t="s">
        <v>85</v>
      </c>
      <c r="E30" s="34" t="s">
        <v>86</v>
      </c>
      <c r="F30" s="29">
        <v>0.25</v>
      </c>
      <c r="G30" s="34" t="s">
        <v>80</v>
      </c>
      <c r="H30" s="30">
        <f>DATE(73,4,3)</f>
        <v>26757</v>
      </c>
      <c r="I30" s="27">
        <v>2</v>
      </c>
      <c r="J30" s="31" t="s">
        <v>38</v>
      </c>
      <c r="K30" s="31" t="s">
        <v>39</v>
      </c>
      <c r="L30" s="40" t="s">
        <v>87</v>
      </c>
      <c r="M30" s="32">
        <f t="shared" si="2"/>
        <v>0.5</v>
      </c>
      <c r="N30" s="86">
        <f>O30*0.7</f>
        <v>2.2749999999999999</v>
      </c>
      <c r="O30" s="32">
        <v>3.25</v>
      </c>
    </row>
    <row r="31" spans="1:15" x14ac:dyDescent="0.25">
      <c r="A31" s="25">
        <f t="shared" si="0"/>
        <v>22</v>
      </c>
      <c r="B31" s="27"/>
      <c r="C31" s="27"/>
      <c r="D31" s="34">
        <v>1225</v>
      </c>
      <c r="E31" s="34" t="s">
        <v>88</v>
      </c>
      <c r="F31" s="29">
        <v>0.01</v>
      </c>
      <c r="G31" s="34" t="s">
        <v>89</v>
      </c>
      <c r="H31" s="30">
        <f>DATE(66,7,6)</f>
        <v>24294</v>
      </c>
      <c r="I31" s="27">
        <v>2</v>
      </c>
      <c r="J31" s="31" t="s">
        <v>38</v>
      </c>
      <c r="K31" s="31" t="s">
        <v>39</v>
      </c>
      <c r="L31" s="27" t="s">
        <v>90</v>
      </c>
      <c r="M31" s="32">
        <f t="shared" si="2"/>
        <v>0.02</v>
      </c>
      <c r="N31" s="86">
        <v>0.5</v>
      </c>
      <c r="O31" s="32">
        <v>0.9</v>
      </c>
    </row>
    <row r="32" spans="1:15" x14ac:dyDescent="0.25">
      <c r="A32" s="25">
        <f t="shared" si="0"/>
        <v>23</v>
      </c>
      <c r="B32" s="27"/>
      <c r="C32" s="27"/>
      <c r="D32" s="34">
        <v>1229</v>
      </c>
      <c r="E32" s="34"/>
      <c r="F32" s="29">
        <v>0.05</v>
      </c>
      <c r="G32" s="34" t="s">
        <v>43</v>
      </c>
      <c r="H32" s="30">
        <f>DATE(62,11,23)</f>
        <v>22973</v>
      </c>
      <c r="I32" s="27">
        <v>2</v>
      </c>
      <c r="J32" s="31" t="s">
        <v>38</v>
      </c>
      <c r="K32" s="31" t="s">
        <v>39</v>
      </c>
      <c r="L32" s="27" t="s">
        <v>91</v>
      </c>
      <c r="M32" s="32">
        <f t="shared" si="2"/>
        <v>0.1</v>
      </c>
      <c r="N32" s="86">
        <f>O32*0.7</f>
        <v>2.8</v>
      </c>
      <c r="O32" s="32">
        <v>4</v>
      </c>
    </row>
    <row r="33" spans="1:15" x14ac:dyDescent="0.25">
      <c r="A33" s="25">
        <f t="shared" si="0"/>
        <v>24</v>
      </c>
      <c r="B33" s="27"/>
      <c r="C33" s="27"/>
      <c r="D33" s="34">
        <v>1297</v>
      </c>
      <c r="E33" s="34"/>
      <c r="F33" s="29">
        <v>0.03</v>
      </c>
      <c r="G33" s="34" t="s">
        <v>92</v>
      </c>
      <c r="H33" s="30">
        <f>DATE(75,11,4)</f>
        <v>27702</v>
      </c>
      <c r="I33" s="27">
        <v>2</v>
      </c>
      <c r="J33" s="31" t="s">
        <v>40</v>
      </c>
      <c r="K33" s="31" t="s">
        <v>39</v>
      </c>
      <c r="L33" s="40" t="s">
        <v>87</v>
      </c>
      <c r="M33" s="32">
        <f t="shared" si="2"/>
        <v>0.06</v>
      </c>
      <c r="N33" s="86">
        <v>0.3</v>
      </c>
      <c r="O33" s="32">
        <v>0.6</v>
      </c>
    </row>
    <row r="34" spans="1:15" x14ac:dyDescent="0.25">
      <c r="A34" s="25">
        <f t="shared" si="0"/>
        <v>25</v>
      </c>
      <c r="B34" s="27"/>
      <c r="C34" s="27"/>
      <c r="D34" s="34">
        <v>1298</v>
      </c>
      <c r="E34" s="34"/>
      <c r="F34" s="29">
        <v>0.06</v>
      </c>
      <c r="G34" s="34" t="s">
        <v>62</v>
      </c>
      <c r="H34" s="30">
        <f>DATE(67,12,28)</f>
        <v>24834</v>
      </c>
      <c r="I34" s="27">
        <v>2</v>
      </c>
      <c r="J34" s="31" t="s">
        <v>40</v>
      </c>
      <c r="K34" s="31" t="s">
        <v>39</v>
      </c>
      <c r="L34" s="27" t="s">
        <v>90</v>
      </c>
      <c r="M34" s="32">
        <f t="shared" si="2"/>
        <v>0.12</v>
      </c>
      <c r="N34" s="86">
        <v>0.9</v>
      </c>
      <c r="O34" s="32">
        <v>1.1000000000000001</v>
      </c>
    </row>
    <row r="35" spans="1:15" x14ac:dyDescent="0.25">
      <c r="A35" s="25">
        <f t="shared" si="0"/>
        <v>26</v>
      </c>
      <c r="B35" s="27"/>
      <c r="C35" s="27"/>
      <c r="D35" s="28">
        <v>1299</v>
      </c>
      <c r="E35" s="34"/>
      <c r="F35" s="29">
        <v>0.01</v>
      </c>
      <c r="G35" s="34" t="s">
        <v>93</v>
      </c>
      <c r="H35" s="30">
        <f>DATE(68,1,12)</f>
        <v>24849</v>
      </c>
      <c r="I35" s="34">
        <v>2</v>
      </c>
      <c r="J35" s="31" t="s">
        <v>38</v>
      </c>
      <c r="K35" s="31" t="s">
        <v>39</v>
      </c>
      <c r="L35" s="27" t="s">
        <v>90</v>
      </c>
      <c r="M35" s="32">
        <f t="shared" si="2"/>
        <v>0.02</v>
      </c>
      <c r="N35" s="86">
        <v>0.15</v>
      </c>
      <c r="O35" s="32">
        <v>0.6</v>
      </c>
    </row>
    <row r="36" spans="1:15" x14ac:dyDescent="0.25">
      <c r="A36" s="25">
        <f t="shared" si="0"/>
        <v>27</v>
      </c>
      <c r="B36" s="27"/>
      <c r="C36" s="27"/>
      <c r="D36" s="28">
        <v>1303</v>
      </c>
      <c r="E36" s="34"/>
      <c r="F36" s="29">
        <v>0.04</v>
      </c>
      <c r="G36" s="34" t="s">
        <v>59</v>
      </c>
      <c r="H36" s="30">
        <f>DATE(66,5,28)</f>
        <v>24255</v>
      </c>
      <c r="I36" s="34">
        <v>2</v>
      </c>
      <c r="J36" s="31" t="s">
        <v>38</v>
      </c>
      <c r="K36" s="31" t="s">
        <v>39</v>
      </c>
      <c r="L36" s="27" t="s">
        <v>90</v>
      </c>
      <c r="M36" s="32">
        <f t="shared" si="2"/>
        <v>0.08</v>
      </c>
      <c r="N36" s="86">
        <v>0.5</v>
      </c>
      <c r="O36" s="32">
        <v>0.75</v>
      </c>
    </row>
    <row r="37" spans="1:15" x14ac:dyDescent="0.25">
      <c r="A37" s="25">
        <f t="shared" si="0"/>
        <v>28</v>
      </c>
      <c r="B37" s="27"/>
      <c r="C37" s="27"/>
      <c r="D37" s="34">
        <v>1304</v>
      </c>
      <c r="E37" s="34"/>
      <c r="F37" s="29">
        <v>0.05</v>
      </c>
      <c r="G37" s="34" t="s">
        <v>43</v>
      </c>
      <c r="H37" s="30">
        <f>DATE(66,9,8)</f>
        <v>24358</v>
      </c>
      <c r="I37" s="34">
        <v>2</v>
      </c>
      <c r="J37" s="31" t="s">
        <v>38</v>
      </c>
      <c r="K37" s="31" t="s">
        <v>39</v>
      </c>
      <c r="L37" s="40" t="s">
        <v>87</v>
      </c>
      <c r="M37" s="32">
        <f t="shared" si="2"/>
        <v>0.1</v>
      </c>
      <c r="N37" s="86">
        <v>0.3</v>
      </c>
      <c r="O37" s="32">
        <v>0.75</v>
      </c>
    </row>
    <row r="38" spans="1:15" x14ac:dyDescent="0.25">
      <c r="A38" s="25">
        <f t="shared" si="0"/>
        <v>29</v>
      </c>
      <c r="B38" s="27"/>
      <c r="C38" s="27"/>
      <c r="D38" s="28" t="s">
        <v>94</v>
      </c>
      <c r="E38" s="34"/>
      <c r="F38" s="29">
        <v>0.05</v>
      </c>
      <c r="G38" s="34" t="s">
        <v>43</v>
      </c>
      <c r="H38" s="87" t="s">
        <v>95</v>
      </c>
      <c r="I38" s="34">
        <v>2</v>
      </c>
      <c r="J38" s="31" t="s">
        <v>38</v>
      </c>
      <c r="K38" s="31" t="s">
        <v>39</v>
      </c>
      <c r="L38" s="27" t="s">
        <v>90</v>
      </c>
      <c r="M38" s="32">
        <f t="shared" si="2"/>
        <v>0.1</v>
      </c>
      <c r="N38" s="86">
        <v>0.7</v>
      </c>
      <c r="O38" s="32">
        <v>1.25</v>
      </c>
    </row>
    <row r="39" spans="1:15" x14ac:dyDescent="0.25">
      <c r="A39" s="25">
        <f t="shared" si="0"/>
        <v>30</v>
      </c>
      <c r="B39" s="27"/>
      <c r="C39" s="27"/>
      <c r="D39" s="34">
        <v>1305</v>
      </c>
      <c r="E39" s="34"/>
      <c r="F39" s="29">
        <v>0.06</v>
      </c>
      <c r="G39" s="34" t="s">
        <v>62</v>
      </c>
      <c r="H39" s="30">
        <f>DATE(68,2,28)</f>
        <v>24896</v>
      </c>
      <c r="I39" s="34">
        <v>2</v>
      </c>
      <c r="J39" s="31" t="s">
        <v>38</v>
      </c>
      <c r="K39" s="31" t="s">
        <v>39</v>
      </c>
      <c r="L39" s="27" t="s">
        <v>90</v>
      </c>
      <c r="M39" s="32">
        <f t="shared" si="2"/>
        <v>0.12</v>
      </c>
      <c r="N39" s="86">
        <v>0.4</v>
      </c>
      <c r="O39" s="32">
        <v>0.75</v>
      </c>
    </row>
    <row r="40" spans="1:15" x14ac:dyDescent="0.25">
      <c r="A40" s="25">
        <f t="shared" si="0"/>
        <v>31</v>
      </c>
      <c r="B40" s="27"/>
      <c r="C40" s="27"/>
      <c r="D40" s="28" t="s">
        <v>96</v>
      </c>
      <c r="E40" s="34"/>
      <c r="F40" s="29">
        <v>0.15</v>
      </c>
      <c r="G40" s="34" t="s">
        <v>97</v>
      </c>
      <c r="H40" s="30">
        <f>DATE(78,6,14)</f>
        <v>28655</v>
      </c>
      <c r="I40" s="34">
        <v>2</v>
      </c>
      <c r="J40" s="31" t="s">
        <v>38</v>
      </c>
      <c r="K40" s="31" t="s">
        <v>39</v>
      </c>
      <c r="L40" s="88" t="s">
        <v>98</v>
      </c>
      <c r="M40" s="32">
        <f t="shared" si="2"/>
        <v>0.3</v>
      </c>
      <c r="N40" s="32">
        <v>0.3</v>
      </c>
      <c r="O40" s="32">
        <v>1.1000000000000001</v>
      </c>
    </row>
    <row r="41" spans="1:15" x14ac:dyDescent="0.25">
      <c r="A41" s="25">
        <f t="shared" si="0"/>
        <v>32</v>
      </c>
      <c r="B41" s="27"/>
      <c r="C41" s="27"/>
      <c r="D41" s="28" t="s">
        <v>96</v>
      </c>
      <c r="E41" s="34" t="s">
        <v>99</v>
      </c>
      <c r="F41" s="29">
        <v>0.15</v>
      </c>
      <c r="G41" s="34" t="s">
        <v>97</v>
      </c>
      <c r="H41" s="87" t="s">
        <v>100</v>
      </c>
      <c r="I41" s="34">
        <v>2</v>
      </c>
      <c r="J41" s="31" t="s">
        <v>38</v>
      </c>
      <c r="K41" s="31" t="s">
        <v>39</v>
      </c>
      <c r="L41" s="88" t="s">
        <v>101</v>
      </c>
      <c r="M41" s="32">
        <f t="shared" si="2"/>
        <v>0.3</v>
      </c>
      <c r="N41" s="32">
        <v>0.3</v>
      </c>
      <c r="O41" s="32">
        <v>5</v>
      </c>
    </row>
    <row r="42" spans="1:15" x14ac:dyDescent="0.25">
      <c r="A42" s="25">
        <f t="shared" si="0"/>
        <v>33</v>
      </c>
      <c r="B42" s="27"/>
      <c r="C42" s="27"/>
      <c r="D42" s="28" t="s">
        <v>102</v>
      </c>
      <c r="E42" s="34"/>
      <c r="F42" s="29">
        <v>1</v>
      </c>
      <c r="G42" s="34" t="s">
        <v>103</v>
      </c>
      <c r="H42" s="30">
        <f>DATE(73,1,12)</f>
        <v>26676</v>
      </c>
      <c r="I42" s="34">
        <v>2</v>
      </c>
      <c r="J42" s="31" t="s">
        <v>38</v>
      </c>
      <c r="K42" s="31" t="s">
        <v>39</v>
      </c>
      <c r="L42" s="40" t="s">
        <v>87</v>
      </c>
      <c r="M42" s="32">
        <f t="shared" si="2"/>
        <v>2</v>
      </c>
      <c r="N42" s="32">
        <v>2</v>
      </c>
      <c r="O42" s="32">
        <v>9.5</v>
      </c>
    </row>
    <row r="43" spans="1:15" x14ac:dyDescent="0.25">
      <c r="A43" s="25">
        <f t="shared" si="0"/>
        <v>34</v>
      </c>
      <c r="B43" s="27"/>
      <c r="C43" s="27"/>
      <c r="D43" s="28" t="s">
        <v>104</v>
      </c>
      <c r="E43" s="34"/>
      <c r="F43" s="29">
        <v>0.06</v>
      </c>
      <c r="G43" s="88" t="s">
        <v>105</v>
      </c>
      <c r="H43" s="30">
        <f>DATE(69,5,30)</f>
        <v>25353</v>
      </c>
      <c r="I43" s="34">
        <v>2</v>
      </c>
      <c r="J43" s="31" t="s">
        <v>38</v>
      </c>
      <c r="K43" s="31" t="s">
        <v>39</v>
      </c>
      <c r="L43" s="27" t="s">
        <v>106</v>
      </c>
      <c r="M43" s="32">
        <f t="shared" si="2"/>
        <v>0.12</v>
      </c>
      <c r="N43" s="32">
        <v>1</v>
      </c>
      <c r="O43" s="89">
        <v>0.5</v>
      </c>
    </row>
    <row r="44" spans="1:15" x14ac:dyDescent="0.25">
      <c r="A44" s="25">
        <f t="shared" si="0"/>
        <v>35</v>
      </c>
      <c r="B44" s="27"/>
      <c r="C44" s="27"/>
      <c r="D44" s="28" t="s">
        <v>107</v>
      </c>
      <c r="E44" s="34"/>
      <c r="F44" s="29">
        <v>0.08</v>
      </c>
      <c r="G44" s="88" t="s">
        <v>105</v>
      </c>
      <c r="H44" s="30">
        <f>DATE(71,5,10)</f>
        <v>26063</v>
      </c>
      <c r="I44" s="34">
        <v>2</v>
      </c>
      <c r="J44" s="31" t="s">
        <v>38</v>
      </c>
      <c r="K44" s="31" t="s">
        <v>39</v>
      </c>
      <c r="L44" s="27" t="s">
        <v>106</v>
      </c>
      <c r="M44" s="32">
        <f t="shared" si="2"/>
        <v>0.16</v>
      </c>
      <c r="N44" s="32">
        <v>1</v>
      </c>
      <c r="O44" s="89">
        <v>0.6</v>
      </c>
    </row>
    <row r="45" spans="1:15" x14ac:dyDescent="0.25">
      <c r="A45" s="25">
        <f t="shared" si="0"/>
        <v>36</v>
      </c>
      <c r="B45" s="27"/>
      <c r="C45" s="27"/>
      <c r="D45" s="34">
        <v>1401</v>
      </c>
      <c r="E45" s="34"/>
      <c r="F45" s="29">
        <v>0.06</v>
      </c>
      <c r="G45" s="34" t="s">
        <v>108</v>
      </c>
      <c r="H45" s="30">
        <f>DATE(70,8,6)</f>
        <v>25786</v>
      </c>
      <c r="I45" s="34">
        <v>2</v>
      </c>
      <c r="J45" s="31" t="s">
        <v>38</v>
      </c>
      <c r="K45" s="31" t="s">
        <v>39</v>
      </c>
      <c r="L45" s="40" t="s">
        <v>87</v>
      </c>
      <c r="M45" s="32">
        <f t="shared" si="2"/>
        <v>0.12</v>
      </c>
      <c r="N45" s="32">
        <v>0.35</v>
      </c>
      <c r="O45" s="32">
        <v>0.6</v>
      </c>
    </row>
    <row r="46" spans="1:15" x14ac:dyDescent="0.25">
      <c r="A46" s="25">
        <f t="shared" si="0"/>
        <v>37</v>
      </c>
      <c r="B46" s="27"/>
      <c r="C46" s="27"/>
      <c r="D46" s="34">
        <v>1402</v>
      </c>
      <c r="E46" s="34"/>
      <c r="F46" s="29">
        <v>0.08</v>
      </c>
      <c r="G46" s="34" t="s">
        <v>108</v>
      </c>
      <c r="H46" s="30">
        <f>DATE(71,5,10)</f>
        <v>26063</v>
      </c>
      <c r="I46" s="34">
        <v>2</v>
      </c>
      <c r="J46" s="31" t="s">
        <v>38</v>
      </c>
      <c r="K46" s="31" t="s">
        <v>39</v>
      </c>
      <c r="L46" s="27" t="s">
        <v>90</v>
      </c>
      <c r="M46" s="32">
        <f t="shared" si="2"/>
        <v>0.16</v>
      </c>
      <c r="N46" s="32">
        <v>0.4</v>
      </c>
      <c r="O46" s="32">
        <v>0.6</v>
      </c>
    </row>
    <row r="47" spans="1:15" x14ac:dyDescent="0.25">
      <c r="A47" s="25">
        <f t="shared" si="0"/>
        <v>38</v>
      </c>
      <c r="B47" s="27"/>
      <c r="C47" s="27"/>
      <c r="D47" s="34">
        <v>1518</v>
      </c>
      <c r="E47" s="34"/>
      <c r="F47" s="29">
        <v>6.3E-2</v>
      </c>
      <c r="G47" s="34" t="s">
        <v>109</v>
      </c>
      <c r="H47" s="30">
        <f>DATE(74,10,1)</f>
        <v>27303</v>
      </c>
      <c r="I47" s="34">
        <v>2</v>
      </c>
      <c r="J47" s="31" t="s">
        <v>38</v>
      </c>
      <c r="K47" s="31" t="s">
        <v>39</v>
      </c>
      <c r="L47" s="27" t="s">
        <v>90</v>
      </c>
      <c r="M47" s="32">
        <f t="shared" si="2"/>
        <v>0.126</v>
      </c>
      <c r="N47" s="32">
        <v>0.5</v>
      </c>
      <c r="O47" s="32">
        <v>0.8</v>
      </c>
    </row>
    <row r="48" spans="1:15" x14ac:dyDescent="0.25">
      <c r="A48" s="25">
        <f t="shared" si="0"/>
        <v>39</v>
      </c>
      <c r="B48" s="27"/>
      <c r="C48" s="27"/>
      <c r="D48" s="34">
        <v>1519</v>
      </c>
      <c r="E48" s="34"/>
      <c r="F48" s="29">
        <v>0.1</v>
      </c>
      <c r="G48" s="34" t="s">
        <v>110</v>
      </c>
      <c r="H48" s="30">
        <f>DATE(73,12,8)</f>
        <v>27006</v>
      </c>
      <c r="I48" s="34">
        <v>2</v>
      </c>
      <c r="J48" s="31" t="s">
        <v>38</v>
      </c>
      <c r="K48" s="31" t="s">
        <v>39</v>
      </c>
      <c r="L48" s="27" t="s">
        <v>106</v>
      </c>
      <c r="M48" s="32">
        <f t="shared" si="2"/>
        <v>0.2</v>
      </c>
      <c r="N48" s="32">
        <v>1</v>
      </c>
      <c r="O48" s="89">
        <v>0.5</v>
      </c>
    </row>
    <row r="49" spans="1:15" x14ac:dyDescent="0.25">
      <c r="A49" s="25">
        <f t="shared" si="0"/>
        <v>40</v>
      </c>
      <c r="B49" s="27"/>
      <c r="C49" s="27"/>
      <c r="D49" s="34">
        <v>1520</v>
      </c>
      <c r="E49" s="34"/>
      <c r="F49" s="29">
        <v>0.1</v>
      </c>
      <c r="G49" s="34" t="s">
        <v>111</v>
      </c>
      <c r="H49" s="30">
        <f>DATE(73,12,14)</f>
        <v>27012</v>
      </c>
      <c r="I49" s="34">
        <v>2</v>
      </c>
      <c r="J49" s="31" t="s">
        <v>38</v>
      </c>
      <c r="K49" s="31" t="s">
        <v>39</v>
      </c>
      <c r="L49" s="27" t="s">
        <v>90</v>
      </c>
      <c r="M49" s="32">
        <f t="shared" si="2"/>
        <v>0.2</v>
      </c>
      <c r="N49" s="32">
        <v>0.2</v>
      </c>
      <c r="O49" s="32">
        <v>0.75</v>
      </c>
    </row>
    <row r="50" spans="1:15" x14ac:dyDescent="0.25">
      <c r="A50" s="25">
        <f t="shared" si="0"/>
        <v>41</v>
      </c>
      <c r="B50" s="27"/>
      <c r="C50" s="27"/>
      <c r="D50" s="34">
        <v>1613</v>
      </c>
      <c r="E50" s="34"/>
      <c r="F50" s="29">
        <v>3.1E-2</v>
      </c>
      <c r="G50" s="34" t="s">
        <v>112</v>
      </c>
      <c r="H50" s="30">
        <f>DATE(79,10,21)</f>
        <v>29149</v>
      </c>
      <c r="I50" s="34">
        <v>2</v>
      </c>
      <c r="J50" s="31" t="s">
        <v>38</v>
      </c>
      <c r="K50" s="31" t="s">
        <v>39</v>
      </c>
      <c r="L50" s="27" t="s">
        <v>90</v>
      </c>
      <c r="M50" s="32">
        <f t="shared" si="2"/>
        <v>6.2E-2</v>
      </c>
      <c r="N50" s="32">
        <v>0.06</v>
      </c>
      <c r="O50" s="32">
        <v>1.25</v>
      </c>
    </row>
    <row r="51" spans="1:15" x14ac:dyDescent="0.25">
      <c r="A51" s="25">
        <f t="shared" si="0"/>
        <v>42</v>
      </c>
      <c r="B51" s="27"/>
      <c r="C51" s="27"/>
      <c r="D51" s="34">
        <v>1614</v>
      </c>
      <c r="E51" s="34"/>
      <c r="F51" s="29">
        <v>7.6999999999999999E-2</v>
      </c>
      <c r="G51" s="34" t="s">
        <v>113</v>
      </c>
      <c r="H51" s="30">
        <f>DATE(76,11,20)</f>
        <v>28084</v>
      </c>
      <c r="I51" s="34">
        <v>2</v>
      </c>
      <c r="J51" s="31" t="s">
        <v>38</v>
      </c>
      <c r="K51" s="31" t="s">
        <v>39</v>
      </c>
      <c r="L51" s="27" t="s">
        <v>90</v>
      </c>
      <c r="M51" s="32">
        <f t="shared" si="2"/>
        <v>0.154</v>
      </c>
      <c r="N51" s="32">
        <v>0.15</v>
      </c>
      <c r="O51" s="32">
        <v>0.9</v>
      </c>
    </row>
    <row r="52" spans="1:15" x14ac:dyDescent="0.25">
      <c r="A52" s="25">
        <f t="shared" si="0"/>
        <v>43</v>
      </c>
      <c r="B52" s="27"/>
      <c r="C52" s="27"/>
      <c r="D52" s="34">
        <v>1615</v>
      </c>
      <c r="E52" s="34"/>
      <c r="F52" s="29">
        <v>7.9000000000000001E-2</v>
      </c>
      <c r="G52" s="34" t="s">
        <v>114</v>
      </c>
      <c r="H52" s="30">
        <f>DATE(76,4,23)</f>
        <v>27873</v>
      </c>
      <c r="I52" s="34">
        <v>2</v>
      </c>
      <c r="J52" s="31" t="s">
        <v>38</v>
      </c>
      <c r="K52" s="31" t="s">
        <v>39</v>
      </c>
      <c r="L52" s="27" t="s">
        <v>87</v>
      </c>
      <c r="M52" s="32">
        <f t="shared" si="2"/>
        <v>0.158</v>
      </c>
      <c r="N52" s="32">
        <v>0.16</v>
      </c>
      <c r="O52" s="32">
        <v>0.75</v>
      </c>
    </row>
    <row r="53" spans="1:15" x14ac:dyDescent="0.25">
      <c r="A53" s="25">
        <f t="shared" si="0"/>
        <v>44</v>
      </c>
      <c r="B53" s="27"/>
      <c r="C53" s="27"/>
      <c r="D53" s="28" t="s">
        <v>115</v>
      </c>
      <c r="E53" s="34"/>
      <c r="F53" s="29">
        <v>8.4000000000000005E-2</v>
      </c>
      <c r="G53" s="34" t="s">
        <v>116</v>
      </c>
      <c r="H53" s="30">
        <f>DATE(78,7,13)</f>
        <v>28684</v>
      </c>
      <c r="I53" s="34">
        <v>2</v>
      </c>
      <c r="J53" s="31" t="s">
        <v>38</v>
      </c>
      <c r="K53" s="31" t="s">
        <v>39</v>
      </c>
      <c r="L53" s="27" t="s">
        <v>90</v>
      </c>
      <c r="M53" s="32">
        <f t="shared" si="2"/>
        <v>0.16800000000000001</v>
      </c>
      <c r="N53" s="32">
        <v>0.17</v>
      </c>
      <c r="O53" s="32">
        <v>3.25</v>
      </c>
    </row>
    <row r="54" spans="1:15" x14ac:dyDescent="0.25">
      <c r="A54" s="25">
        <f t="shared" si="0"/>
        <v>45</v>
      </c>
      <c r="B54" s="27"/>
      <c r="C54" s="27"/>
      <c r="D54" s="34">
        <v>1616</v>
      </c>
      <c r="E54" s="34"/>
      <c r="F54" s="29">
        <v>0.09</v>
      </c>
      <c r="G54" s="34" t="s">
        <v>117</v>
      </c>
      <c r="H54" s="30">
        <f>DATE(76,3,5)</f>
        <v>27824</v>
      </c>
      <c r="I54" s="34">
        <v>2</v>
      </c>
      <c r="J54" s="31" t="s">
        <v>38</v>
      </c>
      <c r="K54" s="31" t="s">
        <v>39</v>
      </c>
      <c r="L54" s="27" t="s">
        <v>90</v>
      </c>
      <c r="M54" s="32">
        <f t="shared" si="2"/>
        <v>0.18</v>
      </c>
      <c r="N54" s="32">
        <v>0.18</v>
      </c>
      <c r="O54" s="32">
        <v>0.9</v>
      </c>
    </row>
    <row r="55" spans="1:15" x14ac:dyDescent="0.25">
      <c r="A55" s="25">
        <f t="shared" si="0"/>
        <v>46</v>
      </c>
      <c r="B55" s="27"/>
      <c r="C55" s="27"/>
      <c r="D55" s="34">
        <v>1617</v>
      </c>
      <c r="E55" s="34"/>
      <c r="F55" s="29">
        <v>0.1</v>
      </c>
      <c r="G55" s="34" t="s">
        <v>118</v>
      </c>
      <c r="H55" s="30">
        <f>DATE(77,11,4)</f>
        <v>28433</v>
      </c>
      <c r="I55" s="34">
        <v>2</v>
      </c>
      <c r="J55" s="31" t="s">
        <v>38</v>
      </c>
      <c r="K55" s="31" t="s">
        <v>39</v>
      </c>
      <c r="L55" s="40" t="s">
        <v>87</v>
      </c>
      <c r="M55" s="32">
        <f t="shared" si="2"/>
        <v>0.2</v>
      </c>
      <c r="N55" s="32">
        <v>0.2</v>
      </c>
      <c r="O55" s="32">
        <v>1</v>
      </c>
    </row>
    <row r="56" spans="1:15" x14ac:dyDescent="0.25">
      <c r="A56" s="25">
        <f t="shared" si="0"/>
        <v>47</v>
      </c>
      <c r="B56" s="27"/>
      <c r="C56" s="27"/>
      <c r="D56" s="34">
        <v>1618</v>
      </c>
      <c r="E56" s="34"/>
      <c r="F56" s="29">
        <v>0.13</v>
      </c>
      <c r="G56" s="34" t="s">
        <v>119</v>
      </c>
      <c r="H56" s="30">
        <f>DATE(75,11,25)</f>
        <v>27723</v>
      </c>
      <c r="I56" s="34">
        <v>2</v>
      </c>
      <c r="J56" s="31" t="s">
        <v>38</v>
      </c>
      <c r="K56" s="31" t="s">
        <v>39</v>
      </c>
      <c r="L56" s="40" t="s">
        <v>87</v>
      </c>
      <c r="M56" s="32">
        <f t="shared" si="2"/>
        <v>0.26</v>
      </c>
      <c r="N56" s="32">
        <v>0.26</v>
      </c>
      <c r="O56" s="32">
        <v>0.75</v>
      </c>
    </row>
    <row r="57" spans="1:15" x14ac:dyDescent="0.25">
      <c r="A57" s="25">
        <f t="shared" si="0"/>
        <v>48</v>
      </c>
      <c r="B57" s="27"/>
      <c r="C57" s="27"/>
      <c r="D57" s="28" t="s">
        <v>120</v>
      </c>
      <c r="E57" s="34"/>
      <c r="F57" s="29">
        <v>0.15</v>
      </c>
      <c r="G57" s="34" t="s">
        <v>121</v>
      </c>
      <c r="H57" s="30">
        <f>DATE(78,6,30)</f>
        <v>28671</v>
      </c>
      <c r="I57" s="34">
        <v>2</v>
      </c>
      <c r="J57" s="31" t="s">
        <v>38</v>
      </c>
      <c r="K57" s="31" t="s">
        <v>39</v>
      </c>
      <c r="L57" s="40" t="s">
        <v>122</v>
      </c>
      <c r="M57" s="32">
        <f t="shared" si="2"/>
        <v>0.3</v>
      </c>
      <c r="N57" s="32">
        <v>0.3</v>
      </c>
      <c r="O57" s="32">
        <v>1.5</v>
      </c>
    </row>
    <row r="58" spans="1:15" x14ac:dyDescent="0.25">
      <c r="A58" s="25">
        <f t="shared" si="0"/>
        <v>49</v>
      </c>
      <c r="B58" s="27"/>
      <c r="C58" s="27"/>
      <c r="D58" s="34">
        <v>1619</v>
      </c>
      <c r="E58" s="34"/>
      <c r="F58" s="29">
        <v>0.16</v>
      </c>
      <c r="G58" s="34" t="s">
        <v>123</v>
      </c>
      <c r="H58" s="30">
        <f>DATE(78,3,31)</f>
        <v>28580</v>
      </c>
      <c r="I58" s="34">
        <v>2</v>
      </c>
      <c r="J58" s="31" t="s">
        <v>38</v>
      </c>
      <c r="K58" s="31" t="s">
        <v>39</v>
      </c>
      <c r="L58" s="27" t="s">
        <v>90</v>
      </c>
      <c r="M58" s="32">
        <f t="shared" si="2"/>
        <v>0.32</v>
      </c>
      <c r="N58" s="32">
        <v>0.32</v>
      </c>
      <c r="O58" s="32">
        <v>1.75</v>
      </c>
    </row>
    <row r="59" spans="1:15" x14ac:dyDescent="0.25">
      <c r="A59" s="25">
        <f t="shared" si="0"/>
        <v>50</v>
      </c>
      <c r="B59" s="27"/>
      <c r="C59" s="27"/>
      <c r="D59" s="34">
        <v>1625</v>
      </c>
      <c r="E59" s="34"/>
      <c r="F59" s="29">
        <v>0.13</v>
      </c>
      <c r="G59" s="34" t="s">
        <v>124</v>
      </c>
      <c r="H59" s="30">
        <f>DATE(75,11,15)</f>
        <v>27713</v>
      </c>
      <c r="I59" s="34">
        <v>2</v>
      </c>
      <c r="J59" s="31" t="s">
        <v>38</v>
      </c>
      <c r="K59" s="31" t="s">
        <v>39</v>
      </c>
      <c r="L59" s="27" t="s">
        <v>90</v>
      </c>
      <c r="M59" s="32">
        <f t="shared" si="2"/>
        <v>0.26</v>
      </c>
      <c r="N59" s="32">
        <v>1</v>
      </c>
      <c r="O59" s="89">
        <v>0.7</v>
      </c>
    </row>
    <row r="60" spans="1:15" x14ac:dyDescent="0.25">
      <c r="A60" s="25">
        <f t="shared" si="0"/>
        <v>51</v>
      </c>
      <c r="B60" s="26" t="s">
        <v>36</v>
      </c>
      <c r="C60" s="27"/>
      <c r="D60" s="34">
        <v>1743</v>
      </c>
      <c r="E60" s="34"/>
      <c r="F60" s="29">
        <v>0.15</v>
      </c>
      <c r="G60" s="88" t="s">
        <v>125</v>
      </c>
      <c r="H60" s="30">
        <f>DATE(78,5,22)</f>
        <v>28632</v>
      </c>
      <c r="I60" s="34">
        <v>2</v>
      </c>
      <c r="J60" s="31" t="s">
        <v>38</v>
      </c>
      <c r="K60" s="31" t="s">
        <v>39</v>
      </c>
      <c r="L60" s="27"/>
      <c r="M60" s="32">
        <f t="shared" si="2"/>
        <v>0.3</v>
      </c>
      <c r="N60" s="86">
        <v>0.3</v>
      </c>
      <c r="O60" s="32">
        <v>0.75</v>
      </c>
    </row>
    <row r="61" spans="1:15" x14ac:dyDescent="0.25">
      <c r="A61" s="25">
        <f t="shared" si="0"/>
        <v>52</v>
      </c>
      <c r="B61" s="27"/>
      <c r="C61" s="27"/>
      <c r="D61" s="34">
        <v>1811</v>
      </c>
      <c r="E61" s="34"/>
      <c r="F61" s="29">
        <v>0.01</v>
      </c>
      <c r="G61" s="34" t="s">
        <v>126</v>
      </c>
      <c r="H61" s="30">
        <f>DATE(80,3,6)</f>
        <v>29286</v>
      </c>
      <c r="I61" s="34">
        <v>2</v>
      </c>
      <c r="J61" s="31" t="s">
        <v>38</v>
      </c>
      <c r="K61" s="31" t="s">
        <v>39</v>
      </c>
      <c r="L61" s="27" t="s">
        <v>127</v>
      </c>
      <c r="M61" s="32">
        <f t="shared" si="2"/>
        <v>0.02</v>
      </c>
      <c r="N61" s="32">
        <v>0.02</v>
      </c>
      <c r="O61" s="32">
        <v>1.75</v>
      </c>
    </row>
    <row r="62" spans="1:15" x14ac:dyDescent="0.25">
      <c r="A62" s="25">
        <f t="shared" si="0"/>
        <v>53</v>
      </c>
      <c r="B62" s="27"/>
      <c r="C62" s="27"/>
      <c r="D62" s="34">
        <v>1813</v>
      </c>
      <c r="E62" s="34"/>
      <c r="F62" s="29">
        <v>3.5000000000000003E-2</v>
      </c>
      <c r="G62" s="34" t="s">
        <v>128</v>
      </c>
      <c r="H62" s="30">
        <f>DATE(80,6,23)</f>
        <v>29395</v>
      </c>
      <c r="I62" s="34">
        <v>2</v>
      </c>
      <c r="J62" s="31" t="s">
        <v>38</v>
      </c>
      <c r="K62" s="31" t="s">
        <v>39</v>
      </c>
      <c r="L62" s="27"/>
      <c r="M62" s="32">
        <f t="shared" si="2"/>
        <v>7.0000000000000007E-2</v>
      </c>
      <c r="N62" s="32">
        <v>7.0000000000000007E-2</v>
      </c>
      <c r="O62" s="32">
        <v>1</v>
      </c>
    </row>
    <row r="63" spans="1:15" x14ac:dyDescent="0.25">
      <c r="A63" s="25">
        <f t="shared" si="0"/>
        <v>54</v>
      </c>
      <c r="B63" s="27"/>
      <c r="C63" s="27"/>
      <c r="D63" s="34">
        <v>1816</v>
      </c>
      <c r="E63" s="34"/>
      <c r="F63" s="29">
        <v>0.12</v>
      </c>
      <c r="G63" s="34" t="s">
        <v>129</v>
      </c>
      <c r="H63" s="30">
        <f>DATE(81,4,8)</f>
        <v>29684</v>
      </c>
      <c r="I63" s="34">
        <v>2</v>
      </c>
      <c r="J63" s="31" t="s">
        <v>38</v>
      </c>
      <c r="K63" s="31" t="s">
        <v>39</v>
      </c>
      <c r="L63" s="27"/>
      <c r="M63" s="32">
        <f t="shared" si="2"/>
        <v>0.24</v>
      </c>
      <c r="N63" s="32">
        <v>0.24</v>
      </c>
      <c r="O63" s="32">
        <v>2</v>
      </c>
    </row>
    <row r="64" spans="1:15" x14ac:dyDescent="0.25">
      <c r="A64" s="25">
        <f t="shared" si="0"/>
        <v>55</v>
      </c>
      <c r="B64" s="27"/>
      <c r="C64" s="27"/>
      <c r="D64" s="34">
        <v>1820</v>
      </c>
      <c r="E64" s="34"/>
      <c r="F64" s="29">
        <v>0.18</v>
      </c>
      <c r="G64" s="88" t="s">
        <v>130</v>
      </c>
      <c r="H64" s="30">
        <f>DATE(81,3,15)</f>
        <v>29660</v>
      </c>
      <c r="I64" s="34">
        <v>2</v>
      </c>
      <c r="J64" s="31" t="s">
        <v>38</v>
      </c>
      <c r="K64" s="31" t="s">
        <v>39</v>
      </c>
      <c r="L64" s="27"/>
      <c r="M64" s="32">
        <f t="shared" si="2"/>
        <v>0.36</v>
      </c>
      <c r="N64" s="32">
        <v>0.36</v>
      </c>
      <c r="O64" s="32">
        <v>1.6</v>
      </c>
    </row>
    <row r="65" spans="1:15" x14ac:dyDescent="0.25">
      <c r="A65" s="25">
        <f t="shared" si="0"/>
        <v>56</v>
      </c>
      <c r="B65" s="27"/>
      <c r="C65" s="27"/>
      <c r="D65" s="34">
        <v>1891</v>
      </c>
      <c r="E65" s="34"/>
      <c r="F65" s="29">
        <v>0.18</v>
      </c>
      <c r="G65" s="88" t="s">
        <v>131</v>
      </c>
      <c r="H65" s="30">
        <f>DATE(81,4,24)</f>
        <v>29700</v>
      </c>
      <c r="I65" s="34">
        <v>3</v>
      </c>
      <c r="J65" s="31" t="s">
        <v>38</v>
      </c>
      <c r="K65" s="31">
        <v>2</v>
      </c>
      <c r="L65" s="27"/>
      <c r="M65" s="32">
        <f t="shared" si="2"/>
        <v>0.54</v>
      </c>
      <c r="N65" s="32">
        <v>0.54</v>
      </c>
      <c r="O65" s="32">
        <v>8</v>
      </c>
    </row>
    <row r="66" spans="1:15" x14ac:dyDescent="0.25">
      <c r="A66" s="25">
        <f t="shared" si="0"/>
        <v>57</v>
      </c>
      <c r="B66" s="27"/>
      <c r="C66" s="27"/>
      <c r="D66" s="34">
        <v>1895</v>
      </c>
      <c r="E66" s="34"/>
      <c r="F66" s="29">
        <v>0.2</v>
      </c>
      <c r="G66" s="88" t="s">
        <v>132</v>
      </c>
      <c r="H66" s="30">
        <f>DATE(81,12,17)</f>
        <v>29937</v>
      </c>
      <c r="I66" s="34">
        <v>3</v>
      </c>
      <c r="J66" s="31" t="s">
        <v>38</v>
      </c>
      <c r="K66" s="31">
        <v>1</v>
      </c>
      <c r="L66" s="27"/>
      <c r="M66" s="32">
        <f t="shared" si="2"/>
        <v>0.60000000000000009</v>
      </c>
      <c r="N66" s="32">
        <v>0.6</v>
      </c>
      <c r="O66" s="32">
        <v>1.75</v>
      </c>
    </row>
    <row r="67" spans="1:15" x14ac:dyDescent="0.25">
      <c r="A67" s="25">
        <f t="shared" si="0"/>
        <v>58</v>
      </c>
      <c r="B67" s="27"/>
      <c r="C67" s="27"/>
      <c r="D67" s="34"/>
      <c r="E67" s="34"/>
      <c r="F67" s="29"/>
      <c r="G67" s="34"/>
      <c r="H67" s="30"/>
      <c r="I67" s="34"/>
      <c r="J67" s="31"/>
      <c r="K67" s="31"/>
      <c r="L67" s="27"/>
      <c r="M67" s="32" t="str">
        <f t="shared" si="2"/>
        <v xml:space="preserve"> </v>
      </c>
      <c r="N67" s="32"/>
      <c r="O67" s="32"/>
    </row>
    <row r="68" spans="1:15" x14ac:dyDescent="0.25">
      <c r="A68" s="25">
        <f t="shared" si="0"/>
        <v>59</v>
      </c>
      <c r="B68" s="27"/>
      <c r="C68" s="27"/>
      <c r="D68" s="34"/>
      <c r="E68" s="34"/>
      <c r="F68" s="29"/>
      <c r="G68" s="34"/>
      <c r="H68" s="30"/>
      <c r="I68" s="34"/>
      <c r="J68" s="31"/>
      <c r="K68" s="31"/>
      <c r="L68" s="27"/>
      <c r="M68" s="32" t="str">
        <f t="shared" si="2"/>
        <v xml:space="preserve"> </v>
      </c>
      <c r="N68" s="32"/>
      <c r="O68" s="32"/>
    </row>
    <row r="69" spans="1:15" x14ac:dyDescent="0.25">
      <c r="A69" s="25">
        <f t="shared" si="0"/>
        <v>60</v>
      </c>
      <c r="B69" s="27"/>
      <c r="C69" s="27"/>
      <c r="D69" s="34"/>
      <c r="E69" s="34"/>
      <c r="F69" s="29"/>
      <c r="G69" s="34"/>
      <c r="H69" s="30"/>
      <c r="I69" s="34"/>
      <c r="J69" s="31"/>
      <c r="K69" s="31"/>
      <c r="L69" s="27"/>
      <c r="M69" s="32" t="str">
        <f t="shared" si="2"/>
        <v xml:space="preserve"> </v>
      </c>
      <c r="N69" s="32"/>
      <c r="O69" s="32"/>
    </row>
    <row r="70" spans="1:15" x14ac:dyDescent="0.25">
      <c r="A70" s="25">
        <f t="shared" si="0"/>
        <v>61</v>
      </c>
      <c r="B70" s="27"/>
      <c r="C70" s="27"/>
      <c r="D70" s="34"/>
      <c r="E70" s="34"/>
      <c r="F70" s="29"/>
      <c r="G70" s="34"/>
      <c r="H70" s="30"/>
      <c r="I70" s="34"/>
      <c r="J70" s="31"/>
      <c r="K70" s="31"/>
      <c r="L70" s="27"/>
      <c r="M70" s="32" t="str">
        <f t="shared" si="2"/>
        <v xml:space="preserve"> </v>
      </c>
      <c r="N70" s="32"/>
      <c r="O70" s="32"/>
    </row>
    <row r="71" spans="1:15" x14ac:dyDescent="0.25">
      <c r="A71" s="25">
        <f t="shared" si="0"/>
        <v>62</v>
      </c>
      <c r="B71" s="27"/>
      <c r="C71" s="27"/>
      <c r="D71" s="34"/>
      <c r="E71" s="34"/>
      <c r="F71" s="29"/>
      <c r="G71" s="34"/>
      <c r="H71" s="30"/>
      <c r="I71" s="34"/>
      <c r="J71" s="31"/>
      <c r="K71" s="31"/>
      <c r="L71" s="27"/>
      <c r="M71" s="32" t="str">
        <f t="shared" si="2"/>
        <v xml:space="preserve"> </v>
      </c>
      <c r="N71" s="32"/>
      <c r="O71" s="32"/>
    </row>
    <row r="72" spans="1:15" x14ac:dyDescent="0.25">
      <c r="A72" s="25">
        <f t="shared" si="0"/>
        <v>63</v>
      </c>
      <c r="B72" s="27"/>
      <c r="C72" s="27"/>
      <c r="D72" s="34"/>
      <c r="E72" s="34"/>
      <c r="F72" s="29"/>
      <c r="G72" s="34"/>
      <c r="H72" s="30"/>
      <c r="I72" s="34"/>
      <c r="J72" s="31"/>
      <c r="K72" s="31"/>
      <c r="L72" s="27"/>
      <c r="M72" s="32" t="str">
        <f t="shared" si="2"/>
        <v xml:space="preserve"> </v>
      </c>
      <c r="N72" s="32"/>
      <c r="O72" s="32"/>
    </row>
    <row r="73" spans="1:15" x14ac:dyDescent="0.25">
      <c r="A73" s="25">
        <f t="shared" si="0"/>
        <v>64</v>
      </c>
      <c r="B73" s="27"/>
      <c r="C73" s="27"/>
      <c r="D73" s="34"/>
      <c r="E73" s="34"/>
      <c r="F73" s="29"/>
      <c r="G73" s="34"/>
      <c r="H73" s="30"/>
      <c r="I73" s="34"/>
      <c r="J73" s="31"/>
      <c r="K73" s="31"/>
      <c r="L73" s="27"/>
      <c r="M73" s="32" t="str">
        <f t="shared" si="2"/>
        <v xml:space="preserve"> </v>
      </c>
      <c r="N73" s="32"/>
      <c r="O73" s="32"/>
    </row>
    <row r="74" spans="1:15" x14ac:dyDescent="0.25">
      <c r="A74" s="25">
        <f t="shared" si="0"/>
        <v>65</v>
      </c>
      <c r="B74" s="27"/>
      <c r="C74" s="27"/>
      <c r="D74" s="34"/>
      <c r="E74" s="34"/>
      <c r="F74" s="29"/>
      <c r="G74" s="34"/>
      <c r="H74" s="30"/>
      <c r="I74" s="34"/>
      <c r="J74" s="31"/>
      <c r="K74" s="31"/>
      <c r="L74" s="27"/>
      <c r="M74" s="32" t="str">
        <f t="shared" si="2"/>
        <v xml:space="preserve"> </v>
      </c>
      <c r="N74" s="32"/>
      <c r="O74" s="32"/>
    </row>
    <row r="75" spans="1:15" x14ac:dyDescent="0.25">
      <c r="A75" s="25">
        <f t="shared" ref="A75:A81" si="3">A74+1</f>
        <v>66</v>
      </c>
      <c r="B75" s="27"/>
      <c r="C75" s="27"/>
      <c r="D75" s="34"/>
      <c r="E75" s="34"/>
      <c r="F75" s="29"/>
      <c r="G75" s="34"/>
      <c r="H75" s="30"/>
      <c r="I75" s="34"/>
      <c r="J75" s="31"/>
      <c r="K75" s="31"/>
      <c r="L75" s="27"/>
      <c r="M75" s="32" t="str">
        <f t="shared" si="2"/>
        <v xml:space="preserve"> </v>
      </c>
      <c r="N75" s="32"/>
      <c r="O75" s="32"/>
    </row>
    <row r="76" spans="1:15" x14ac:dyDescent="0.25">
      <c r="A76" s="25">
        <f t="shared" si="3"/>
        <v>67</v>
      </c>
      <c r="B76" s="27"/>
      <c r="C76" s="27"/>
      <c r="D76" s="34"/>
      <c r="E76" s="34"/>
      <c r="F76" s="29"/>
      <c r="G76" s="34"/>
      <c r="H76" s="30"/>
      <c r="I76" s="34"/>
      <c r="J76" s="31"/>
      <c r="K76" s="31"/>
      <c r="L76" s="27"/>
      <c r="M76" s="32" t="str">
        <f t="shared" ref="M76:M85" si="4">IF(F76*I76&gt;0,F76*I76," ")</f>
        <v xml:space="preserve"> </v>
      </c>
      <c r="N76" s="32"/>
      <c r="O76" s="32"/>
    </row>
    <row r="77" spans="1:15" ht="19.5" x14ac:dyDescent="0.3">
      <c r="A77" s="25">
        <f t="shared" si="3"/>
        <v>68</v>
      </c>
      <c r="B77" s="27"/>
      <c r="C77" s="27"/>
      <c r="D77" s="34"/>
      <c r="E77" s="90" t="s">
        <v>133</v>
      </c>
      <c r="F77" s="29"/>
      <c r="G77" s="34"/>
      <c r="H77" s="30"/>
      <c r="I77" s="34"/>
      <c r="J77" s="31"/>
      <c r="K77" s="31"/>
      <c r="L77" s="91"/>
      <c r="M77" s="32"/>
      <c r="N77" s="32"/>
      <c r="O77" s="32"/>
    </row>
    <row r="78" spans="1:15" x14ac:dyDescent="0.25">
      <c r="A78" s="25">
        <f t="shared" si="3"/>
        <v>69</v>
      </c>
      <c r="B78" s="27"/>
      <c r="C78" s="27"/>
      <c r="D78" s="34"/>
      <c r="E78" s="34"/>
      <c r="F78" s="29"/>
      <c r="G78" s="34"/>
      <c r="H78" s="30"/>
      <c r="I78" s="34"/>
      <c r="J78" s="31"/>
      <c r="K78" s="31"/>
      <c r="L78" s="27"/>
      <c r="M78" s="32" t="str">
        <f t="shared" si="4"/>
        <v xml:space="preserve"> </v>
      </c>
      <c r="N78" s="32"/>
      <c r="O78" s="32"/>
    </row>
    <row r="79" spans="1:15" x14ac:dyDescent="0.25">
      <c r="A79" s="25">
        <f t="shared" si="3"/>
        <v>70</v>
      </c>
      <c r="B79" s="27"/>
      <c r="C79" s="27"/>
      <c r="D79" s="34"/>
      <c r="E79" s="34"/>
      <c r="F79" s="29"/>
      <c r="G79" s="34"/>
      <c r="H79" s="30"/>
      <c r="I79" s="34"/>
      <c r="J79" s="31"/>
      <c r="K79" s="31"/>
      <c r="L79" s="27"/>
      <c r="M79" s="32" t="str">
        <f t="shared" si="4"/>
        <v xml:space="preserve"> </v>
      </c>
      <c r="N79" s="32"/>
      <c r="O79" s="32"/>
    </row>
    <row r="80" spans="1:15" x14ac:dyDescent="0.25">
      <c r="A80" s="25">
        <f t="shared" si="3"/>
        <v>71</v>
      </c>
      <c r="B80" s="27"/>
      <c r="C80" s="27"/>
      <c r="D80" s="34"/>
      <c r="E80" s="34"/>
      <c r="F80" s="29"/>
      <c r="G80" s="34"/>
      <c r="H80" s="30"/>
      <c r="I80" s="34"/>
      <c r="J80" s="31"/>
      <c r="K80" s="31"/>
      <c r="L80" s="27"/>
      <c r="M80" s="32" t="str">
        <f t="shared" si="4"/>
        <v xml:space="preserve"> </v>
      </c>
      <c r="N80" s="32"/>
      <c r="O80" s="32"/>
    </row>
    <row r="81" spans="1:15" x14ac:dyDescent="0.25">
      <c r="A81" s="25">
        <f t="shared" si="3"/>
        <v>72</v>
      </c>
      <c r="B81" s="27"/>
      <c r="C81" s="27"/>
      <c r="D81" s="34"/>
      <c r="E81" s="34"/>
      <c r="F81" s="29"/>
      <c r="G81" s="34"/>
      <c r="H81" s="30"/>
      <c r="I81" s="34"/>
      <c r="J81" s="31"/>
      <c r="K81" s="31"/>
      <c r="L81" s="27"/>
      <c r="M81" s="32" t="str">
        <f t="shared" si="4"/>
        <v xml:space="preserve"> </v>
      </c>
      <c r="N81" s="32"/>
      <c r="O81" s="32"/>
    </row>
    <row r="82" spans="1:15" x14ac:dyDescent="0.25">
      <c r="A82" s="25">
        <f>A81+1</f>
        <v>73</v>
      </c>
      <c r="B82" s="27"/>
      <c r="C82" s="27"/>
      <c r="D82" s="34"/>
      <c r="E82" s="34"/>
      <c r="F82" s="29"/>
      <c r="G82" s="34"/>
      <c r="H82" s="30"/>
      <c r="I82" s="34"/>
      <c r="J82" s="31"/>
      <c r="K82" s="31"/>
      <c r="L82" s="27"/>
      <c r="M82" s="32" t="str">
        <f t="shared" si="4"/>
        <v xml:space="preserve"> </v>
      </c>
      <c r="N82" s="32"/>
      <c r="O82" s="32"/>
    </row>
    <row r="83" spans="1:15" x14ac:dyDescent="0.25">
      <c r="A83" s="25">
        <f>A82+1</f>
        <v>74</v>
      </c>
      <c r="B83" s="27"/>
      <c r="C83" s="27"/>
      <c r="D83" s="34"/>
      <c r="E83" s="34"/>
      <c r="F83" s="29"/>
      <c r="G83" s="34"/>
      <c r="H83" s="30"/>
      <c r="I83" s="34"/>
      <c r="J83" s="31"/>
      <c r="K83" s="31"/>
      <c r="L83" s="27"/>
      <c r="M83" s="32" t="str">
        <f t="shared" si="4"/>
        <v xml:space="preserve"> </v>
      </c>
      <c r="N83" s="32"/>
      <c r="O83" s="32"/>
    </row>
    <row r="84" spans="1:15" x14ac:dyDescent="0.25">
      <c r="A84" s="25">
        <f>A83+1</f>
        <v>75</v>
      </c>
      <c r="B84" s="27"/>
      <c r="C84" s="27"/>
      <c r="D84" s="34"/>
      <c r="E84" s="34"/>
      <c r="F84" s="29"/>
      <c r="G84" s="34"/>
      <c r="H84" s="30"/>
      <c r="I84" s="34"/>
      <c r="J84" s="31"/>
      <c r="K84" s="31"/>
      <c r="L84" s="27"/>
      <c r="M84" s="32" t="str">
        <f t="shared" si="4"/>
        <v xml:space="preserve"> </v>
      </c>
      <c r="N84" s="32"/>
      <c r="O84" s="32"/>
    </row>
    <row r="85" spans="1:15" x14ac:dyDescent="0.25">
      <c r="A85" s="25">
        <f>A84+1</f>
        <v>76</v>
      </c>
      <c r="B85" s="27"/>
      <c r="C85" s="27"/>
      <c r="D85" s="34"/>
      <c r="E85" s="34"/>
      <c r="F85" s="29"/>
      <c r="G85" s="34"/>
      <c r="H85" s="30"/>
      <c r="I85" s="34"/>
      <c r="J85" s="31"/>
      <c r="K85" s="31"/>
      <c r="L85" s="27"/>
      <c r="M85" s="32" t="str">
        <f t="shared" si="4"/>
        <v xml:space="preserve"> </v>
      </c>
      <c r="N85" s="32"/>
      <c r="O85" s="32"/>
    </row>
    <row r="86" spans="1:15" ht="16.5" thickBot="1" x14ac:dyDescent="0.3">
      <c r="A86" s="25">
        <f>A85+1</f>
        <v>77</v>
      </c>
      <c r="B86" s="27"/>
      <c r="C86" s="27"/>
      <c r="D86" s="34"/>
      <c r="E86" s="92"/>
      <c r="F86" s="29"/>
      <c r="G86" s="92"/>
      <c r="H86" s="30"/>
      <c r="I86" s="34"/>
      <c r="J86" s="31"/>
      <c r="K86" s="31"/>
      <c r="L86" s="27"/>
      <c r="M86" s="32" t="str">
        <f>IF(F86*I86&gt;0,F86*I86," ")</f>
        <v xml:space="preserve"> </v>
      </c>
      <c r="N86" s="93"/>
      <c r="O86" s="93"/>
    </row>
    <row r="87" spans="1:15" ht="16.5" thickTop="1" x14ac:dyDescent="0.25">
      <c r="A87" s="41"/>
      <c r="B87" s="42" t="s">
        <v>69</v>
      </c>
      <c r="C87" s="43"/>
      <c r="D87" s="44"/>
      <c r="E87" s="43"/>
      <c r="F87" s="45"/>
      <c r="G87" s="43"/>
      <c r="H87" s="43"/>
      <c r="I87" s="43"/>
      <c r="J87" s="46"/>
      <c r="K87" s="47"/>
      <c r="L87" s="47"/>
      <c r="M87" s="48"/>
      <c r="N87" s="49"/>
      <c r="O87" s="50"/>
    </row>
    <row r="88" spans="1:15" ht="16.5" thickBot="1" x14ac:dyDescent="0.3">
      <c r="A88" s="51"/>
      <c r="B88" s="52" t="s">
        <v>70</v>
      </c>
      <c r="C88" s="53"/>
      <c r="D88" s="54"/>
      <c r="E88" s="53"/>
      <c r="F88" s="55"/>
      <c r="G88" s="53"/>
      <c r="H88" s="53"/>
      <c r="I88" s="53"/>
      <c r="J88" s="56"/>
      <c r="K88" s="47"/>
      <c r="L88" s="57" t="s">
        <v>2</v>
      </c>
      <c r="M88" s="58"/>
      <c r="N88" s="58"/>
      <c r="O88" s="59"/>
    </row>
    <row r="89" spans="1:15" ht="16.5" thickTop="1" x14ac:dyDescent="0.25">
      <c r="A89" s="51"/>
      <c r="B89" s="52" t="s">
        <v>71</v>
      </c>
      <c r="C89" s="53"/>
      <c r="D89" s="54"/>
      <c r="E89" s="60"/>
      <c r="F89" s="61"/>
      <c r="G89" s="60"/>
      <c r="H89" s="60"/>
      <c r="I89" s="53"/>
      <c r="J89" s="56"/>
      <c r="K89" s="47"/>
      <c r="L89" s="62"/>
      <c r="M89" s="63"/>
      <c r="N89" s="63"/>
      <c r="O89" s="64"/>
    </row>
    <row r="90" spans="1:15" x14ac:dyDescent="0.25">
      <c r="A90" s="51"/>
      <c r="B90" s="52"/>
      <c r="C90" s="53"/>
      <c r="D90" s="54"/>
      <c r="E90" s="60"/>
      <c r="F90" s="61"/>
      <c r="G90" s="60"/>
      <c r="H90" s="60"/>
      <c r="I90" s="53"/>
      <c r="J90" s="56"/>
      <c r="K90" s="47"/>
      <c r="L90" s="65" t="s">
        <v>72</v>
      </c>
      <c r="M90" s="66"/>
      <c r="N90" s="67"/>
      <c r="O90" s="68">
        <f>SUM(M10:M86)</f>
        <v>10.353000000000003</v>
      </c>
    </row>
    <row r="91" spans="1:15" x14ac:dyDescent="0.25">
      <c r="A91" s="51"/>
      <c r="B91" s="69" t="s">
        <v>73</v>
      </c>
      <c r="C91" s="53"/>
      <c r="D91" s="54"/>
      <c r="E91" s="60"/>
      <c r="F91" s="61"/>
      <c r="G91" s="60"/>
      <c r="H91" s="60"/>
      <c r="I91" s="53"/>
      <c r="J91" s="56"/>
      <c r="K91" s="47"/>
      <c r="L91" s="65" t="s">
        <v>74</v>
      </c>
      <c r="M91" s="66"/>
      <c r="N91" s="67"/>
      <c r="O91" s="68">
        <f>SUM(N10:N86)</f>
        <v>118.73</v>
      </c>
    </row>
    <row r="92" spans="1:15" x14ac:dyDescent="0.25">
      <c r="A92" s="51"/>
      <c r="B92" s="69" t="s">
        <v>75</v>
      </c>
      <c r="C92" s="53"/>
      <c r="D92" s="54"/>
      <c r="E92" s="53"/>
      <c r="F92" s="55"/>
      <c r="G92" s="53"/>
      <c r="H92" s="53"/>
      <c r="I92" s="53"/>
      <c r="J92" s="56"/>
      <c r="K92" s="47"/>
      <c r="L92" s="65" t="s">
        <v>76</v>
      </c>
      <c r="M92" s="66"/>
      <c r="N92" s="67"/>
      <c r="O92" s="68">
        <f>SUM(O10:O86)</f>
        <v>226.95</v>
      </c>
    </row>
    <row r="93" spans="1:15" ht="16.5" thickBot="1" x14ac:dyDescent="0.3">
      <c r="A93" s="70"/>
      <c r="B93" s="71" t="s">
        <v>77</v>
      </c>
      <c r="C93" s="72"/>
      <c r="D93" s="73"/>
      <c r="E93" s="72"/>
      <c r="F93" s="74"/>
      <c r="G93" s="72"/>
      <c r="H93" s="72"/>
      <c r="I93" s="72"/>
      <c r="J93" s="75"/>
      <c r="K93" s="76"/>
      <c r="L93" s="77" t="s">
        <v>78</v>
      </c>
      <c r="M93" s="78"/>
      <c r="N93" s="78"/>
      <c r="O93" s="79">
        <f>SUM(I10:I86)</f>
        <v>116</v>
      </c>
    </row>
    <row r="94" spans="1:15" ht="16.5" thickTop="1" x14ac:dyDescent="0.25">
      <c r="A94" s="80"/>
      <c r="B94" s="81" t="s">
        <v>268</v>
      </c>
      <c r="C94" s="82"/>
      <c r="D94" s="82"/>
      <c r="E94" s="82"/>
      <c r="F94" s="83"/>
      <c r="G94" s="82"/>
      <c r="H94" s="82"/>
      <c r="I94" s="82"/>
      <c r="J94" s="84"/>
      <c r="K94" s="82"/>
      <c r="L94" s="82"/>
      <c r="M94" s="83"/>
      <c r="N94" s="83"/>
      <c r="O94" s="85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&amp;LREGPNC02.XLS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O96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2.42578125" style="11" customWidth="1"/>
    <col min="9" max="9" width="7.42578125" style="11" customWidth="1"/>
    <col min="10" max="10" width="6.140625" style="11" customWidth="1"/>
    <col min="11" max="11" width="11.28515625" style="11" customWidth="1"/>
    <col min="12" max="12" width="52.42578125" style="11" customWidth="1"/>
    <col min="13" max="14" width="10" style="11" customWidth="1"/>
    <col min="15" max="15" width="13.85546875" style="11" customWidth="1"/>
    <col min="16" max="16" width="2.28515625" style="11" customWidth="1"/>
    <col min="17" max="16384" width="12.5703125" style="11"/>
  </cols>
  <sheetData>
    <row r="1" spans="1:15" x14ac:dyDescent="0.25">
      <c r="N1" s="12" t="s">
        <v>15</v>
      </c>
    </row>
    <row r="3" spans="1:15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</row>
    <row r="4" spans="1:15" ht="30.75" x14ac:dyDescent="0.45">
      <c r="A4" s="13" t="s">
        <v>17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</row>
    <row r="5" spans="1:15" ht="30.75" x14ac:dyDescent="0.45">
      <c r="A5" s="13" t="s">
        <v>18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</row>
    <row r="6" spans="1:15" x14ac:dyDescent="0.25">
      <c r="N6" s="12" t="s">
        <v>3</v>
      </c>
    </row>
    <row r="8" spans="1:15" x14ac:dyDescent="0.25">
      <c r="A8" s="15" t="s">
        <v>19</v>
      </c>
      <c r="B8" s="16"/>
      <c r="C8" s="17" t="s">
        <v>20</v>
      </c>
      <c r="D8" s="18"/>
      <c r="E8" s="19"/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27</v>
      </c>
      <c r="M8" s="20" t="s">
        <v>5</v>
      </c>
      <c r="N8" s="20" t="s">
        <v>28</v>
      </c>
      <c r="O8" s="20" t="s">
        <v>29</v>
      </c>
    </row>
    <row r="9" spans="1:15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2"/>
      <c r="K9" s="24" t="s">
        <v>35</v>
      </c>
      <c r="L9" s="22"/>
      <c r="M9" s="24" t="s">
        <v>10</v>
      </c>
      <c r="N9" s="24" t="s">
        <v>11</v>
      </c>
      <c r="O9" s="24" t="s">
        <v>10</v>
      </c>
    </row>
    <row r="10" spans="1:15" ht="16.5" thickTop="1" x14ac:dyDescent="0.25">
      <c r="A10" s="25">
        <v>1</v>
      </c>
      <c r="B10" s="26" t="s">
        <v>36</v>
      </c>
      <c r="C10" s="27"/>
      <c r="D10" s="28">
        <v>1897</v>
      </c>
      <c r="E10" s="27"/>
      <c r="F10" s="29">
        <v>0.01</v>
      </c>
      <c r="G10" s="94" t="s">
        <v>134</v>
      </c>
      <c r="H10" s="30">
        <f>DATE(83,8,19)</f>
        <v>30547</v>
      </c>
      <c r="I10" s="27">
        <v>4</v>
      </c>
      <c r="J10" s="31" t="s">
        <v>38</v>
      </c>
      <c r="K10" s="31">
        <v>1</v>
      </c>
      <c r="L10" s="27" t="s">
        <v>135</v>
      </c>
      <c r="M10" s="32">
        <f>IF(F10*I10&gt;0,F10*I10," ")</f>
        <v>0.04</v>
      </c>
      <c r="N10" s="86">
        <f t="shared" ref="N10:N73" si="0">M10</f>
        <v>0.04</v>
      </c>
      <c r="O10" s="32">
        <v>0.5</v>
      </c>
    </row>
    <row r="11" spans="1:15" x14ac:dyDescent="0.25">
      <c r="A11" s="25">
        <f t="shared" ref="A11:A74" si="1">A10+1</f>
        <v>2</v>
      </c>
      <c r="B11" s="27"/>
      <c r="C11" s="27"/>
      <c r="D11" s="28" t="s">
        <v>136</v>
      </c>
      <c r="E11" s="34"/>
      <c r="F11" s="29">
        <v>0.02</v>
      </c>
      <c r="G11" s="94" t="s">
        <v>134</v>
      </c>
      <c r="H11" s="30">
        <f>DATE(82,5,20)</f>
        <v>30091</v>
      </c>
      <c r="I11" s="27">
        <v>4</v>
      </c>
      <c r="J11" s="31" t="s">
        <v>38</v>
      </c>
      <c r="K11" s="31">
        <v>2</v>
      </c>
      <c r="L11" s="27" t="s">
        <v>135</v>
      </c>
      <c r="M11" s="32">
        <f>IF(F11*I11&gt;0,F11*I11," ")</f>
        <v>0.08</v>
      </c>
      <c r="N11" s="86">
        <f t="shared" si="0"/>
        <v>0.08</v>
      </c>
      <c r="O11" s="86">
        <v>0.5</v>
      </c>
    </row>
    <row r="12" spans="1:15" x14ac:dyDescent="0.25">
      <c r="A12" s="25">
        <f t="shared" si="1"/>
        <v>3</v>
      </c>
      <c r="B12" s="27"/>
      <c r="C12" s="27"/>
      <c r="D12" s="34">
        <v>1898</v>
      </c>
      <c r="E12" s="34"/>
      <c r="F12" s="29">
        <v>0.03</v>
      </c>
      <c r="G12" s="94" t="s">
        <v>134</v>
      </c>
      <c r="H12" s="30">
        <f>DATE(83,3,25)</f>
        <v>30400</v>
      </c>
      <c r="I12" s="27">
        <v>4</v>
      </c>
      <c r="J12" s="31" t="s">
        <v>38</v>
      </c>
      <c r="K12" s="31">
        <v>1</v>
      </c>
      <c r="L12" s="27" t="s">
        <v>135</v>
      </c>
      <c r="M12" s="32">
        <f t="shared" ref="M12:M75" si="2">IF(F12*I12&gt;0,F12*I12," ")</f>
        <v>0.12</v>
      </c>
      <c r="N12" s="86">
        <f t="shared" si="0"/>
        <v>0.12</v>
      </c>
      <c r="O12" s="86">
        <v>0.55000000000000004</v>
      </c>
    </row>
    <row r="13" spans="1:15" x14ac:dyDescent="0.25">
      <c r="A13" s="25">
        <f t="shared" si="1"/>
        <v>4</v>
      </c>
      <c r="B13" s="27"/>
      <c r="C13" s="27"/>
      <c r="D13" s="28" t="s">
        <v>137</v>
      </c>
      <c r="E13" s="34"/>
      <c r="F13" s="29">
        <v>0.04</v>
      </c>
      <c r="G13" s="94" t="s">
        <v>134</v>
      </c>
      <c r="H13" s="30">
        <f>DATE(82,8,19)</f>
        <v>30182</v>
      </c>
      <c r="I13" s="27">
        <v>4</v>
      </c>
      <c r="J13" s="31" t="s">
        <v>38</v>
      </c>
      <c r="K13" s="31">
        <v>3</v>
      </c>
      <c r="L13" s="27" t="s">
        <v>135</v>
      </c>
      <c r="M13" s="32">
        <f t="shared" si="2"/>
        <v>0.16</v>
      </c>
      <c r="N13" s="86">
        <f t="shared" si="0"/>
        <v>0.16</v>
      </c>
      <c r="O13" s="86">
        <v>0.9</v>
      </c>
    </row>
    <row r="14" spans="1:15" x14ac:dyDescent="0.25">
      <c r="A14" s="25">
        <f t="shared" si="1"/>
        <v>5</v>
      </c>
      <c r="B14" s="27"/>
      <c r="C14" s="27"/>
      <c r="D14" s="34">
        <v>1899</v>
      </c>
      <c r="E14" s="34"/>
      <c r="F14" s="29">
        <v>0.05</v>
      </c>
      <c r="G14" s="94" t="s">
        <v>134</v>
      </c>
      <c r="H14" s="30">
        <f>DATE(83,10,10)</f>
        <v>30599</v>
      </c>
      <c r="I14" s="27">
        <v>4</v>
      </c>
      <c r="J14" s="31" t="s">
        <v>38</v>
      </c>
      <c r="K14" s="31">
        <v>1</v>
      </c>
      <c r="L14" s="27" t="s">
        <v>135</v>
      </c>
      <c r="M14" s="32">
        <f t="shared" si="2"/>
        <v>0.2</v>
      </c>
      <c r="N14" s="86">
        <f t="shared" si="0"/>
        <v>0.2</v>
      </c>
      <c r="O14" s="86">
        <v>1</v>
      </c>
    </row>
    <row r="15" spans="1:15" x14ac:dyDescent="0.25">
      <c r="A15" s="25">
        <f t="shared" si="1"/>
        <v>6</v>
      </c>
      <c r="B15" s="27"/>
      <c r="C15" s="27"/>
      <c r="D15" s="34">
        <v>1900</v>
      </c>
      <c r="E15" s="34"/>
      <c r="F15" s="29">
        <v>5.1999999999999998E-2</v>
      </c>
      <c r="G15" s="94" t="s">
        <v>134</v>
      </c>
      <c r="H15" s="30">
        <f>DATE(83,3,21)</f>
        <v>30396</v>
      </c>
      <c r="I15" s="27">
        <v>4</v>
      </c>
      <c r="J15" s="31" t="s">
        <v>38</v>
      </c>
      <c r="K15" s="31">
        <v>2</v>
      </c>
      <c r="L15" s="27" t="s">
        <v>135</v>
      </c>
      <c r="M15" s="32">
        <f t="shared" si="2"/>
        <v>0.20799999999999999</v>
      </c>
      <c r="N15" s="86">
        <f t="shared" si="0"/>
        <v>0.20799999999999999</v>
      </c>
      <c r="O15" s="86">
        <v>3</v>
      </c>
    </row>
    <row r="16" spans="1:15" x14ac:dyDescent="0.25">
      <c r="A16" s="25">
        <f t="shared" si="1"/>
        <v>7</v>
      </c>
      <c r="B16" s="27"/>
      <c r="C16" s="27"/>
      <c r="D16" s="34">
        <v>1901</v>
      </c>
      <c r="E16" s="34"/>
      <c r="F16" s="29">
        <v>5.8999999999999997E-2</v>
      </c>
      <c r="G16" s="94" t="s">
        <v>134</v>
      </c>
      <c r="H16" s="30">
        <f>DATE(82,2,17)</f>
        <v>29999</v>
      </c>
      <c r="I16" s="27">
        <v>4</v>
      </c>
      <c r="J16" s="31" t="s">
        <v>38</v>
      </c>
      <c r="K16" s="31">
        <v>4</v>
      </c>
      <c r="L16" s="27" t="s">
        <v>135</v>
      </c>
      <c r="M16" s="32">
        <f t="shared" si="2"/>
        <v>0.23599999999999999</v>
      </c>
      <c r="N16" s="86">
        <f t="shared" si="0"/>
        <v>0.23599999999999999</v>
      </c>
      <c r="O16" s="86">
        <v>3.5</v>
      </c>
    </row>
    <row r="17" spans="1:15" x14ac:dyDescent="0.25">
      <c r="A17" s="25">
        <f t="shared" si="1"/>
        <v>8</v>
      </c>
      <c r="B17" s="27"/>
      <c r="C17" s="27"/>
      <c r="D17" s="34">
        <v>1902</v>
      </c>
      <c r="E17" s="34"/>
      <c r="F17" s="29">
        <v>0.74</v>
      </c>
      <c r="G17" s="94" t="s">
        <v>134</v>
      </c>
      <c r="H17" s="30">
        <f>DATE(84,4,7)</f>
        <v>30779</v>
      </c>
      <c r="I17" s="27">
        <v>3</v>
      </c>
      <c r="J17" s="31" t="s">
        <v>38</v>
      </c>
      <c r="K17" s="31">
        <v>2</v>
      </c>
      <c r="L17" s="31"/>
      <c r="M17" s="32">
        <f t="shared" si="2"/>
        <v>2.2199999999999998</v>
      </c>
      <c r="N17" s="86">
        <f t="shared" si="0"/>
        <v>2.2199999999999998</v>
      </c>
      <c r="O17" s="86">
        <v>3.5</v>
      </c>
    </row>
    <row r="18" spans="1:15" x14ac:dyDescent="0.25">
      <c r="A18" s="25">
        <f t="shared" si="1"/>
        <v>9</v>
      </c>
      <c r="B18" s="27"/>
      <c r="C18" s="27"/>
      <c r="D18" s="34">
        <v>1903</v>
      </c>
      <c r="E18" s="34"/>
      <c r="F18" s="29">
        <v>9.2999999999999999E-2</v>
      </c>
      <c r="G18" s="94" t="s">
        <v>134</v>
      </c>
      <c r="H18" s="30">
        <f>DATE(81,12,15)</f>
        <v>29935</v>
      </c>
      <c r="I18" s="27">
        <v>4</v>
      </c>
      <c r="J18" s="31" t="s">
        <v>38</v>
      </c>
      <c r="K18" s="31">
        <v>2</v>
      </c>
      <c r="L18" s="27" t="s">
        <v>135</v>
      </c>
      <c r="M18" s="32">
        <f t="shared" si="2"/>
        <v>0.372</v>
      </c>
      <c r="N18" s="86">
        <f t="shared" si="0"/>
        <v>0.372</v>
      </c>
      <c r="O18" s="86">
        <v>4.5</v>
      </c>
    </row>
    <row r="19" spans="1:15" x14ac:dyDescent="0.25">
      <c r="A19" s="25">
        <f t="shared" si="1"/>
        <v>10</v>
      </c>
      <c r="B19" s="27"/>
      <c r="C19" s="27"/>
      <c r="D19" s="34">
        <v>1904</v>
      </c>
      <c r="E19" s="34"/>
      <c r="F19" s="29">
        <v>0.109</v>
      </c>
      <c r="G19" s="94" t="s">
        <v>134</v>
      </c>
      <c r="H19" s="30">
        <f>DATE(82,3,26)</f>
        <v>30036</v>
      </c>
      <c r="I19" s="27">
        <v>4</v>
      </c>
      <c r="J19" s="31" t="s">
        <v>38</v>
      </c>
      <c r="K19" s="31">
        <v>2</v>
      </c>
      <c r="L19" s="27" t="s">
        <v>135</v>
      </c>
      <c r="M19" s="32">
        <f t="shared" si="2"/>
        <v>0.436</v>
      </c>
      <c r="N19" s="86">
        <f t="shared" si="0"/>
        <v>0.436</v>
      </c>
      <c r="O19" s="86">
        <v>10</v>
      </c>
    </row>
    <row r="20" spans="1:15" x14ac:dyDescent="0.25">
      <c r="A20" s="25">
        <f t="shared" si="1"/>
        <v>11</v>
      </c>
      <c r="B20" s="27"/>
      <c r="C20" s="27"/>
      <c r="D20" s="34">
        <v>1905</v>
      </c>
      <c r="E20" s="34"/>
      <c r="F20" s="29">
        <v>0.11</v>
      </c>
      <c r="G20" s="94" t="s">
        <v>134</v>
      </c>
      <c r="H20" s="30">
        <f>DATE(84,2,3)</f>
        <v>30715</v>
      </c>
      <c r="I20" s="27">
        <v>3</v>
      </c>
      <c r="J20" s="31" t="s">
        <v>38</v>
      </c>
      <c r="K20" s="31">
        <v>1</v>
      </c>
      <c r="L20" s="94" t="s">
        <v>90</v>
      </c>
      <c r="M20" s="32">
        <f t="shared" si="2"/>
        <v>0.33</v>
      </c>
      <c r="N20" s="86">
        <f t="shared" si="0"/>
        <v>0.33</v>
      </c>
      <c r="O20" s="86">
        <v>1.4</v>
      </c>
    </row>
    <row r="21" spans="1:15" x14ac:dyDescent="0.25">
      <c r="A21" s="25">
        <f t="shared" si="1"/>
        <v>12</v>
      </c>
      <c r="B21" s="27"/>
      <c r="C21" s="27"/>
      <c r="D21" s="34">
        <v>1905</v>
      </c>
      <c r="E21" s="34" t="s">
        <v>88</v>
      </c>
      <c r="F21" s="29">
        <v>0.11</v>
      </c>
      <c r="G21" s="94" t="s">
        <v>134</v>
      </c>
      <c r="H21" s="87" t="s">
        <v>138</v>
      </c>
      <c r="I21" s="27">
        <v>3</v>
      </c>
      <c r="J21" s="31" t="s">
        <v>38</v>
      </c>
      <c r="K21" s="31">
        <v>2</v>
      </c>
      <c r="L21" s="94" t="s">
        <v>91</v>
      </c>
      <c r="M21" s="32">
        <f t="shared" si="2"/>
        <v>0.33</v>
      </c>
      <c r="N21" s="86">
        <f t="shared" si="0"/>
        <v>0.33</v>
      </c>
      <c r="O21" s="86">
        <v>1.75</v>
      </c>
    </row>
    <row r="22" spans="1:15" x14ac:dyDescent="0.25">
      <c r="A22" s="25">
        <f t="shared" si="1"/>
        <v>13</v>
      </c>
      <c r="B22" s="27"/>
      <c r="C22" s="27"/>
      <c r="D22" s="34">
        <v>1906</v>
      </c>
      <c r="E22" s="34"/>
      <c r="F22" s="29">
        <v>0.17</v>
      </c>
      <c r="G22" s="94" t="s">
        <v>134</v>
      </c>
      <c r="H22" s="30">
        <f>DATE(81,6,25)</f>
        <v>29762</v>
      </c>
      <c r="I22" s="27">
        <v>4</v>
      </c>
      <c r="J22" s="31" t="s">
        <v>38</v>
      </c>
      <c r="K22" s="31">
        <v>1</v>
      </c>
      <c r="L22" s="27" t="s">
        <v>135</v>
      </c>
      <c r="M22" s="32">
        <f t="shared" si="2"/>
        <v>0.68</v>
      </c>
      <c r="N22" s="86">
        <f t="shared" si="0"/>
        <v>0.68</v>
      </c>
      <c r="O22" s="86">
        <v>2</v>
      </c>
    </row>
    <row r="23" spans="1:15" x14ac:dyDescent="0.25">
      <c r="A23" s="25">
        <f t="shared" si="1"/>
        <v>14</v>
      </c>
      <c r="B23" s="27"/>
      <c r="C23" s="27"/>
      <c r="D23" s="34">
        <v>1907</v>
      </c>
      <c r="E23" s="34"/>
      <c r="F23" s="29">
        <v>0.18</v>
      </c>
      <c r="G23" s="94" t="s">
        <v>134</v>
      </c>
      <c r="H23" s="30">
        <f>DATE(81,5,18)</f>
        <v>29724</v>
      </c>
      <c r="I23" s="27">
        <v>4</v>
      </c>
      <c r="J23" s="31" t="s">
        <v>38</v>
      </c>
      <c r="K23" s="31">
        <v>10</v>
      </c>
      <c r="L23" s="27" t="s">
        <v>135</v>
      </c>
      <c r="M23" s="32">
        <f t="shared" si="2"/>
        <v>0.72</v>
      </c>
      <c r="N23" s="86">
        <f t="shared" si="0"/>
        <v>0.72</v>
      </c>
      <c r="O23" s="86">
        <v>7.5</v>
      </c>
    </row>
    <row r="24" spans="1:15" x14ac:dyDescent="0.25">
      <c r="A24" s="25">
        <f t="shared" si="1"/>
        <v>15</v>
      </c>
      <c r="B24" s="27"/>
      <c r="C24" s="27"/>
      <c r="D24" s="34">
        <v>1908</v>
      </c>
      <c r="E24" s="34"/>
      <c r="F24" s="29">
        <v>0.2</v>
      </c>
      <c r="G24" s="94" t="s">
        <v>134</v>
      </c>
      <c r="H24" s="30">
        <f>DATE(81,12,10)</f>
        <v>29930</v>
      </c>
      <c r="I24" s="27">
        <v>4</v>
      </c>
      <c r="J24" s="31" t="s">
        <v>38</v>
      </c>
      <c r="K24" s="31">
        <v>4</v>
      </c>
      <c r="L24" s="27" t="s">
        <v>135</v>
      </c>
      <c r="M24" s="32">
        <f t="shared" si="2"/>
        <v>0.8</v>
      </c>
      <c r="N24" s="86">
        <f t="shared" si="0"/>
        <v>0.8</v>
      </c>
      <c r="O24" s="86">
        <v>4.25</v>
      </c>
    </row>
    <row r="25" spans="1:15" x14ac:dyDescent="0.25">
      <c r="A25" s="25">
        <f t="shared" si="1"/>
        <v>16</v>
      </c>
      <c r="B25" s="27"/>
      <c r="C25" s="27"/>
      <c r="D25" s="34">
        <v>1947</v>
      </c>
      <c r="E25" s="34"/>
      <c r="F25" s="29">
        <v>0.2</v>
      </c>
      <c r="G25" s="40" t="s">
        <v>139</v>
      </c>
      <c r="H25" s="30">
        <f>DATE(81,10,11)</f>
        <v>29870</v>
      </c>
      <c r="I25" s="27">
        <v>2</v>
      </c>
      <c r="J25" s="31" t="s">
        <v>38</v>
      </c>
      <c r="K25" s="31" t="s">
        <v>39</v>
      </c>
      <c r="L25" s="31"/>
      <c r="M25" s="32">
        <f t="shared" si="2"/>
        <v>0.4</v>
      </c>
      <c r="N25" s="86">
        <f t="shared" si="0"/>
        <v>0.4</v>
      </c>
      <c r="O25" s="86">
        <v>1.5</v>
      </c>
    </row>
    <row r="26" spans="1:15" x14ac:dyDescent="0.25">
      <c r="A26" s="25">
        <f t="shared" si="1"/>
        <v>17</v>
      </c>
      <c r="B26" s="27"/>
      <c r="C26" s="27"/>
      <c r="D26" s="34">
        <v>2005</v>
      </c>
      <c r="E26" s="34"/>
      <c r="F26" s="29">
        <v>0.2</v>
      </c>
      <c r="G26" s="94" t="s">
        <v>140</v>
      </c>
      <c r="H26" s="30">
        <f>DATE(82,4,27)</f>
        <v>30068</v>
      </c>
      <c r="I26" s="27">
        <v>4</v>
      </c>
      <c r="J26" s="31" t="s">
        <v>38</v>
      </c>
      <c r="K26" s="31">
        <v>3</v>
      </c>
      <c r="L26" s="27" t="s">
        <v>135</v>
      </c>
      <c r="M26" s="32">
        <f t="shared" si="2"/>
        <v>0.8</v>
      </c>
      <c r="N26" s="86">
        <f t="shared" si="0"/>
        <v>0.8</v>
      </c>
      <c r="O26" s="86">
        <v>40</v>
      </c>
    </row>
    <row r="27" spans="1:15" x14ac:dyDescent="0.25">
      <c r="A27" s="25">
        <f t="shared" si="1"/>
        <v>18</v>
      </c>
      <c r="B27" s="27"/>
      <c r="C27" s="27"/>
      <c r="D27" s="34">
        <v>2112</v>
      </c>
      <c r="E27" s="34"/>
      <c r="F27" s="29">
        <v>0.22</v>
      </c>
      <c r="G27" s="40" t="s">
        <v>141</v>
      </c>
      <c r="H27" s="30">
        <f>DATE(85,2,1)</f>
        <v>31079</v>
      </c>
      <c r="I27" s="27">
        <v>3</v>
      </c>
      <c r="J27" s="31" t="s">
        <v>38</v>
      </c>
      <c r="K27" s="31">
        <v>1</v>
      </c>
      <c r="L27" s="31"/>
      <c r="M27" s="32">
        <f t="shared" si="2"/>
        <v>0.66</v>
      </c>
      <c r="N27" s="86">
        <f t="shared" si="0"/>
        <v>0.66</v>
      </c>
      <c r="O27" s="86">
        <v>3</v>
      </c>
    </row>
    <row r="28" spans="1:15" x14ac:dyDescent="0.25">
      <c r="A28" s="25">
        <f t="shared" si="1"/>
        <v>19</v>
      </c>
      <c r="B28" s="27"/>
      <c r="C28" s="27"/>
      <c r="D28" s="34">
        <v>2115</v>
      </c>
      <c r="E28" s="34" t="s">
        <v>88</v>
      </c>
      <c r="F28" s="29">
        <v>0.22</v>
      </c>
      <c r="G28" s="94" t="s">
        <v>142</v>
      </c>
      <c r="H28" s="30">
        <f>DATE(85,3,29)</f>
        <v>31135</v>
      </c>
      <c r="I28" s="27">
        <v>3</v>
      </c>
      <c r="J28" s="31" t="s">
        <v>38</v>
      </c>
      <c r="K28" s="31">
        <v>1</v>
      </c>
      <c r="L28" s="31"/>
      <c r="M28" s="32">
        <f t="shared" si="2"/>
        <v>0.66</v>
      </c>
      <c r="N28" s="86">
        <f t="shared" si="0"/>
        <v>0.66</v>
      </c>
      <c r="O28" s="86">
        <v>4</v>
      </c>
    </row>
    <row r="29" spans="1:15" x14ac:dyDescent="0.25">
      <c r="A29" s="25">
        <f t="shared" si="1"/>
        <v>20</v>
      </c>
      <c r="B29" s="27"/>
      <c r="C29" s="27"/>
      <c r="D29" s="34">
        <v>2115</v>
      </c>
      <c r="E29" s="34" t="s">
        <v>280</v>
      </c>
      <c r="F29" s="29">
        <v>0.22</v>
      </c>
      <c r="G29" s="94" t="s">
        <v>142</v>
      </c>
      <c r="H29" s="30">
        <f>DATE(87,5,23)</f>
        <v>31920</v>
      </c>
      <c r="I29" s="27">
        <v>3</v>
      </c>
      <c r="J29" s="31" t="s">
        <v>38</v>
      </c>
      <c r="K29" s="31" t="s">
        <v>143</v>
      </c>
      <c r="L29" s="31"/>
      <c r="M29" s="32">
        <f t="shared" si="2"/>
        <v>0.66</v>
      </c>
      <c r="N29" s="86">
        <f t="shared" si="0"/>
        <v>0.66</v>
      </c>
      <c r="O29" s="86">
        <v>2</v>
      </c>
    </row>
    <row r="30" spans="1:15" x14ac:dyDescent="0.25">
      <c r="A30" s="25">
        <f t="shared" si="1"/>
        <v>21</v>
      </c>
      <c r="B30" s="27"/>
      <c r="C30" s="27"/>
      <c r="D30" s="34">
        <v>2123</v>
      </c>
      <c r="E30" s="34"/>
      <c r="F30" s="29">
        <v>3.4000000000000002E-2</v>
      </c>
      <c r="G30" s="94" t="s">
        <v>134</v>
      </c>
      <c r="H30" s="30">
        <f>DATE(85,6,8)</f>
        <v>31206</v>
      </c>
      <c r="I30" s="27">
        <v>4</v>
      </c>
      <c r="J30" s="31" t="s">
        <v>38</v>
      </c>
      <c r="K30" s="31">
        <v>1</v>
      </c>
      <c r="L30" s="27" t="s">
        <v>135</v>
      </c>
      <c r="M30" s="32">
        <f t="shared" si="2"/>
        <v>0.13600000000000001</v>
      </c>
      <c r="N30" s="86">
        <f t="shared" si="0"/>
        <v>0.13600000000000001</v>
      </c>
      <c r="O30" s="86">
        <v>1.25</v>
      </c>
    </row>
    <row r="31" spans="1:15" x14ac:dyDescent="0.25">
      <c r="A31" s="25">
        <f t="shared" si="1"/>
        <v>22</v>
      </c>
      <c r="B31" s="27"/>
      <c r="C31" s="27"/>
      <c r="D31" s="34">
        <v>2124</v>
      </c>
      <c r="E31" s="34"/>
      <c r="F31" s="29">
        <v>4.9000000000000002E-2</v>
      </c>
      <c r="G31" s="94" t="s">
        <v>134</v>
      </c>
      <c r="H31" s="30">
        <f>DATE(85,6,21)</f>
        <v>31219</v>
      </c>
      <c r="I31" s="27">
        <v>4</v>
      </c>
      <c r="J31" s="31" t="s">
        <v>38</v>
      </c>
      <c r="K31" s="31">
        <v>4</v>
      </c>
      <c r="L31" s="27" t="s">
        <v>135</v>
      </c>
      <c r="M31" s="32">
        <f t="shared" si="2"/>
        <v>0.19600000000000001</v>
      </c>
      <c r="N31" s="86">
        <f t="shared" si="0"/>
        <v>0.19600000000000001</v>
      </c>
      <c r="O31" s="86">
        <v>1.25</v>
      </c>
    </row>
    <row r="32" spans="1:15" x14ac:dyDescent="0.25">
      <c r="A32" s="25">
        <f t="shared" si="1"/>
        <v>23</v>
      </c>
      <c r="B32" s="27"/>
      <c r="C32" s="27"/>
      <c r="D32" s="34">
        <v>2125</v>
      </c>
      <c r="E32" s="34"/>
      <c r="F32" s="29">
        <v>5.5E-2</v>
      </c>
      <c r="G32" s="94" t="s">
        <v>134</v>
      </c>
      <c r="H32" s="30">
        <f>DATE(86,11,1)</f>
        <v>31717</v>
      </c>
      <c r="I32" s="27">
        <v>3</v>
      </c>
      <c r="J32" s="31" t="s">
        <v>38</v>
      </c>
      <c r="K32" s="31">
        <v>1</v>
      </c>
      <c r="L32" s="27"/>
      <c r="M32" s="32">
        <f t="shared" si="2"/>
        <v>0.16500000000000001</v>
      </c>
      <c r="N32" s="86">
        <f t="shared" si="0"/>
        <v>0.16500000000000001</v>
      </c>
      <c r="O32" s="86">
        <v>1.25</v>
      </c>
    </row>
    <row r="33" spans="1:15" x14ac:dyDescent="0.25">
      <c r="A33" s="25">
        <f t="shared" si="1"/>
        <v>24</v>
      </c>
      <c r="B33" s="27"/>
      <c r="C33" s="27"/>
      <c r="D33" s="34">
        <v>2126</v>
      </c>
      <c r="E33" s="34"/>
      <c r="F33" s="29">
        <v>0.06</v>
      </c>
      <c r="G33" s="94" t="s">
        <v>134</v>
      </c>
      <c r="H33" s="30">
        <f>DATE(85,5,6)</f>
        <v>31173</v>
      </c>
      <c r="I33" s="27">
        <v>3</v>
      </c>
      <c r="J33" s="31" t="s">
        <v>38</v>
      </c>
      <c r="K33" s="31">
        <v>1</v>
      </c>
      <c r="L33" s="27"/>
      <c r="M33" s="32">
        <f t="shared" si="2"/>
        <v>0.18</v>
      </c>
      <c r="N33" s="86">
        <f t="shared" si="0"/>
        <v>0.18</v>
      </c>
      <c r="O33" s="86">
        <v>2</v>
      </c>
    </row>
    <row r="34" spans="1:15" x14ac:dyDescent="0.25">
      <c r="A34" s="25">
        <f t="shared" si="1"/>
        <v>25</v>
      </c>
      <c r="B34" s="27"/>
      <c r="C34" s="27"/>
      <c r="D34" s="34">
        <v>2127</v>
      </c>
      <c r="E34" s="34"/>
      <c r="F34" s="29">
        <v>7.0999999999999994E-2</v>
      </c>
      <c r="G34" s="94" t="s">
        <v>134</v>
      </c>
      <c r="H34" s="30">
        <f>DATE(87,2,6)</f>
        <v>31814</v>
      </c>
      <c r="I34" s="27">
        <v>3</v>
      </c>
      <c r="J34" s="31" t="s">
        <v>38</v>
      </c>
      <c r="K34" s="31">
        <v>1</v>
      </c>
      <c r="L34" s="27"/>
      <c r="M34" s="32">
        <f t="shared" si="2"/>
        <v>0.21299999999999997</v>
      </c>
      <c r="N34" s="86">
        <f t="shared" si="0"/>
        <v>0.21299999999999997</v>
      </c>
      <c r="O34" s="86">
        <v>1.5</v>
      </c>
    </row>
    <row r="35" spans="1:15" x14ac:dyDescent="0.25">
      <c r="A35" s="25">
        <f t="shared" si="1"/>
        <v>26</v>
      </c>
      <c r="B35" s="27"/>
      <c r="C35" s="27"/>
      <c r="D35" s="34">
        <v>2128</v>
      </c>
      <c r="E35" s="34"/>
      <c r="F35" s="29">
        <v>8.3000000000000004E-2</v>
      </c>
      <c r="G35" s="94" t="s">
        <v>134</v>
      </c>
      <c r="H35" s="30">
        <f>DATE(85,6,21)</f>
        <v>31219</v>
      </c>
      <c r="I35" s="27">
        <v>4</v>
      </c>
      <c r="J35" s="31" t="s">
        <v>38</v>
      </c>
      <c r="K35" s="31">
        <v>2</v>
      </c>
      <c r="L35" s="27" t="s">
        <v>135</v>
      </c>
      <c r="M35" s="32">
        <f t="shared" si="2"/>
        <v>0.33200000000000002</v>
      </c>
      <c r="N35" s="86">
        <f t="shared" si="0"/>
        <v>0.33200000000000002</v>
      </c>
      <c r="O35" s="86">
        <v>1.4</v>
      </c>
    </row>
    <row r="36" spans="1:15" x14ac:dyDescent="0.25">
      <c r="A36" s="25">
        <f t="shared" si="1"/>
        <v>27</v>
      </c>
      <c r="B36" s="27"/>
      <c r="C36" s="27"/>
      <c r="D36" s="34">
        <v>2129</v>
      </c>
      <c r="E36" s="34"/>
      <c r="F36" s="29">
        <v>8.5000000000000006E-2</v>
      </c>
      <c r="G36" s="94" t="s">
        <v>134</v>
      </c>
      <c r="H36" s="30">
        <f>DATE(87,1,24)</f>
        <v>31801</v>
      </c>
      <c r="I36" s="27">
        <v>3</v>
      </c>
      <c r="J36" s="31" t="s">
        <v>38</v>
      </c>
      <c r="K36" s="31">
        <v>1</v>
      </c>
      <c r="L36" s="27"/>
      <c r="M36" s="32">
        <f t="shared" si="2"/>
        <v>0.255</v>
      </c>
      <c r="N36" s="86">
        <f t="shared" si="0"/>
        <v>0.255</v>
      </c>
      <c r="O36" s="86">
        <v>2.25</v>
      </c>
    </row>
    <row r="37" spans="1:15" x14ac:dyDescent="0.25">
      <c r="A37" s="25">
        <f t="shared" si="1"/>
        <v>28</v>
      </c>
      <c r="B37" s="27"/>
      <c r="C37" s="27"/>
      <c r="D37" s="34">
        <v>2130</v>
      </c>
      <c r="E37" s="34"/>
      <c r="F37" s="29">
        <v>0.10100000000000001</v>
      </c>
      <c r="G37" s="94" t="s">
        <v>134</v>
      </c>
      <c r="H37" s="30">
        <f>DATE(85,4,18)</f>
        <v>31155</v>
      </c>
      <c r="I37" s="27">
        <v>3</v>
      </c>
      <c r="J37" s="31" t="s">
        <v>38</v>
      </c>
      <c r="K37" s="31">
        <v>1</v>
      </c>
      <c r="L37" s="27"/>
      <c r="M37" s="32">
        <f t="shared" si="2"/>
        <v>0.30300000000000005</v>
      </c>
      <c r="N37" s="86">
        <f t="shared" si="0"/>
        <v>0.30300000000000005</v>
      </c>
      <c r="O37" s="86">
        <v>3.5</v>
      </c>
    </row>
    <row r="38" spans="1:15" x14ac:dyDescent="0.25">
      <c r="A38" s="25">
        <f t="shared" si="1"/>
        <v>29</v>
      </c>
      <c r="B38" s="27"/>
      <c r="C38" s="27"/>
      <c r="D38" s="34">
        <v>2131</v>
      </c>
      <c r="E38" s="34"/>
      <c r="F38" s="29">
        <v>0.11</v>
      </c>
      <c r="G38" s="94" t="s">
        <v>134</v>
      </c>
      <c r="H38" s="30">
        <f>DATE(85,6,11)</f>
        <v>31209</v>
      </c>
      <c r="I38" s="27">
        <v>4</v>
      </c>
      <c r="J38" s="31" t="s">
        <v>38</v>
      </c>
      <c r="K38" s="31">
        <v>4</v>
      </c>
      <c r="L38" s="27" t="s">
        <v>135</v>
      </c>
      <c r="M38" s="32">
        <f t="shared" si="2"/>
        <v>0.44</v>
      </c>
      <c r="N38" s="86">
        <f t="shared" si="0"/>
        <v>0.44</v>
      </c>
      <c r="O38" s="86">
        <v>1.4</v>
      </c>
    </row>
    <row r="39" spans="1:15" x14ac:dyDescent="0.25">
      <c r="A39" s="25">
        <f t="shared" si="1"/>
        <v>30</v>
      </c>
      <c r="B39" s="27"/>
      <c r="C39" s="27"/>
      <c r="D39" s="34">
        <v>2132</v>
      </c>
      <c r="E39" s="34"/>
      <c r="F39" s="29">
        <v>0.12</v>
      </c>
      <c r="G39" s="94" t="s">
        <v>134</v>
      </c>
      <c r="H39" s="30">
        <f>DATE(85,4,2)</f>
        <v>31139</v>
      </c>
      <c r="I39" s="27">
        <v>4</v>
      </c>
      <c r="J39" s="31" t="s">
        <v>38</v>
      </c>
      <c r="K39" s="31">
        <v>1</v>
      </c>
      <c r="L39" s="27" t="s">
        <v>135</v>
      </c>
      <c r="M39" s="32">
        <f t="shared" si="2"/>
        <v>0.48</v>
      </c>
      <c r="N39" s="86">
        <f t="shared" si="0"/>
        <v>0.48</v>
      </c>
      <c r="O39" s="86">
        <v>2</v>
      </c>
    </row>
    <row r="40" spans="1:15" x14ac:dyDescent="0.25">
      <c r="A40" s="25">
        <f t="shared" si="1"/>
        <v>31</v>
      </c>
      <c r="B40" s="27"/>
      <c r="C40" s="27"/>
      <c r="D40" s="34">
        <v>2133</v>
      </c>
      <c r="E40" s="34"/>
      <c r="F40" s="29">
        <v>0.125</v>
      </c>
      <c r="G40" s="94" t="s">
        <v>134</v>
      </c>
      <c r="H40" s="30">
        <f>DATE(85,4,18)</f>
        <v>31155</v>
      </c>
      <c r="I40" s="27">
        <v>3</v>
      </c>
      <c r="J40" s="31" t="s">
        <v>38</v>
      </c>
      <c r="K40" s="31">
        <v>1</v>
      </c>
      <c r="L40" s="27"/>
      <c r="M40" s="32">
        <f t="shared" si="2"/>
        <v>0.375</v>
      </c>
      <c r="N40" s="86">
        <f t="shared" si="0"/>
        <v>0.375</v>
      </c>
      <c r="O40" s="86">
        <v>2.5</v>
      </c>
    </row>
    <row r="41" spans="1:15" x14ac:dyDescent="0.25">
      <c r="A41" s="25">
        <f t="shared" si="1"/>
        <v>32</v>
      </c>
      <c r="B41" s="27"/>
      <c r="C41" s="27"/>
      <c r="D41" s="34">
        <v>2134</v>
      </c>
      <c r="E41" s="34"/>
      <c r="F41" s="29">
        <v>0.14000000000000001</v>
      </c>
      <c r="G41" s="94" t="s">
        <v>134</v>
      </c>
      <c r="H41" s="30">
        <f>DATE(85,3,23)</f>
        <v>31129</v>
      </c>
      <c r="I41" s="27">
        <v>4</v>
      </c>
      <c r="J41" s="31" t="s">
        <v>38</v>
      </c>
      <c r="K41" s="31">
        <v>2</v>
      </c>
      <c r="L41" s="27" t="s">
        <v>135</v>
      </c>
      <c r="M41" s="32">
        <f t="shared" si="2"/>
        <v>0.56000000000000005</v>
      </c>
      <c r="N41" s="86">
        <f t="shared" si="0"/>
        <v>0.56000000000000005</v>
      </c>
      <c r="O41" s="86">
        <v>2</v>
      </c>
    </row>
    <row r="42" spans="1:15" x14ac:dyDescent="0.25">
      <c r="A42" s="25">
        <f t="shared" si="1"/>
        <v>33</v>
      </c>
      <c r="B42" s="27"/>
      <c r="C42" s="27"/>
      <c r="D42" s="34">
        <v>2134</v>
      </c>
      <c r="E42" s="34" t="s">
        <v>86</v>
      </c>
      <c r="F42" s="29">
        <v>0.14000000000000001</v>
      </c>
      <c r="G42" s="94" t="s">
        <v>134</v>
      </c>
      <c r="H42" s="30">
        <f>DATE(86,9,30)</f>
        <v>31685</v>
      </c>
      <c r="I42" s="27">
        <v>3</v>
      </c>
      <c r="J42" s="31" t="s">
        <v>38</v>
      </c>
      <c r="K42" s="31">
        <v>2</v>
      </c>
      <c r="L42" s="40" t="s">
        <v>144</v>
      </c>
      <c r="M42" s="32">
        <f t="shared" si="2"/>
        <v>0.42000000000000004</v>
      </c>
      <c r="N42" s="86">
        <f t="shared" si="0"/>
        <v>0.42000000000000004</v>
      </c>
      <c r="O42" s="86">
        <v>2.5</v>
      </c>
    </row>
    <row r="43" spans="1:15" x14ac:dyDescent="0.25">
      <c r="A43" s="25">
        <f t="shared" si="1"/>
        <v>34</v>
      </c>
      <c r="B43" s="27"/>
      <c r="C43" s="27"/>
      <c r="D43" s="34">
        <v>2135</v>
      </c>
      <c r="E43" s="34"/>
      <c r="F43" s="29">
        <v>0.17</v>
      </c>
      <c r="G43" s="94" t="s">
        <v>134</v>
      </c>
      <c r="H43" s="30">
        <f>DATE(86,8,20)</f>
        <v>31644</v>
      </c>
      <c r="I43" s="27">
        <v>3</v>
      </c>
      <c r="J43" s="31" t="s">
        <v>38</v>
      </c>
      <c r="K43" s="31">
        <v>2</v>
      </c>
      <c r="L43" s="27" t="s">
        <v>145</v>
      </c>
      <c r="M43" s="32">
        <f t="shared" si="2"/>
        <v>0.51</v>
      </c>
      <c r="N43" s="86">
        <f t="shared" si="0"/>
        <v>0.51</v>
      </c>
      <c r="O43" s="86">
        <v>4</v>
      </c>
    </row>
    <row r="44" spans="1:15" x14ac:dyDescent="0.25">
      <c r="A44" s="25">
        <f t="shared" si="1"/>
        <v>35</v>
      </c>
      <c r="B44" s="27"/>
      <c r="C44" s="27"/>
      <c r="D44" s="34">
        <v>2136</v>
      </c>
      <c r="E44" s="34"/>
      <c r="F44" s="29">
        <v>0.25</v>
      </c>
      <c r="G44" s="94" t="s">
        <v>134</v>
      </c>
      <c r="H44" s="30">
        <f>DATE(86,11,22)</f>
        <v>31738</v>
      </c>
      <c r="I44" s="27">
        <v>3</v>
      </c>
      <c r="J44" s="31" t="s">
        <v>38</v>
      </c>
      <c r="K44" s="31">
        <v>1</v>
      </c>
      <c r="L44" s="27"/>
      <c r="M44" s="32">
        <f t="shared" si="2"/>
        <v>0.75</v>
      </c>
      <c r="N44" s="86">
        <f t="shared" si="0"/>
        <v>0.75</v>
      </c>
      <c r="O44" s="86">
        <v>3</v>
      </c>
    </row>
    <row r="45" spans="1:15" x14ac:dyDescent="0.25">
      <c r="A45" s="25">
        <f t="shared" si="1"/>
        <v>36</v>
      </c>
      <c r="B45" s="27"/>
      <c r="C45" s="27"/>
      <c r="D45" s="34">
        <v>2149</v>
      </c>
      <c r="E45" s="34"/>
      <c r="F45" s="29">
        <v>0.18</v>
      </c>
      <c r="G45" s="95" t="s">
        <v>146</v>
      </c>
      <c r="H45" s="30">
        <f>DATE(85,11,6)</f>
        <v>31357</v>
      </c>
      <c r="I45" s="27">
        <v>3</v>
      </c>
      <c r="J45" s="31" t="s">
        <v>38</v>
      </c>
      <c r="K45" s="31">
        <v>3333</v>
      </c>
      <c r="L45" s="31"/>
      <c r="M45" s="32">
        <f t="shared" si="2"/>
        <v>0.54</v>
      </c>
      <c r="N45" s="86">
        <f t="shared" si="0"/>
        <v>0.54</v>
      </c>
      <c r="O45" s="86">
        <v>3.25</v>
      </c>
    </row>
    <row r="46" spans="1:15" x14ac:dyDescent="0.25">
      <c r="A46" s="25">
        <f t="shared" si="1"/>
        <v>37</v>
      </c>
      <c r="B46" s="27"/>
      <c r="C46" s="27"/>
      <c r="D46" s="34">
        <v>2150</v>
      </c>
      <c r="E46" s="34"/>
      <c r="F46" s="29">
        <v>0.21099999999999999</v>
      </c>
      <c r="G46" s="94" t="s">
        <v>147</v>
      </c>
      <c r="H46" s="30">
        <f>DATE(85,10,22)</f>
        <v>31342</v>
      </c>
      <c r="I46" s="27">
        <v>3</v>
      </c>
      <c r="J46" s="31" t="s">
        <v>38</v>
      </c>
      <c r="K46" s="31">
        <v>111111</v>
      </c>
      <c r="L46" s="31"/>
      <c r="M46" s="32">
        <f t="shared" si="2"/>
        <v>0.63300000000000001</v>
      </c>
      <c r="N46" s="86">
        <f t="shared" si="0"/>
        <v>0.63300000000000001</v>
      </c>
      <c r="O46" s="86">
        <v>3</v>
      </c>
    </row>
    <row r="47" spans="1:15" x14ac:dyDescent="0.25">
      <c r="A47" s="25">
        <f t="shared" si="1"/>
        <v>38</v>
      </c>
      <c r="B47" s="27"/>
      <c r="C47" s="27"/>
      <c r="D47" s="34">
        <v>2225</v>
      </c>
      <c r="E47" s="34"/>
      <c r="F47" s="29">
        <v>0.01</v>
      </c>
      <c r="G47" s="94" t="s">
        <v>134</v>
      </c>
      <c r="H47" s="30">
        <f>DATE(86,11,26)</f>
        <v>31742</v>
      </c>
      <c r="I47" s="27">
        <v>3</v>
      </c>
      <c r="J47" s="31" t="s">
        <v>38</v>
      </c>
      <c r="K47" s="31">
        <v>1</v>
      </c>
      <c r="L47" s="94" t="s">
        <v>148</v>
      </c>
      <c r="M47" s="32">
        <f t="shared" si="2"/>
        <v>0.03</v>
      </c>
      <c r="N47" s="86">
        <f t="shared" si="0"/>
        <v>0.03</v>
      </c>
      <c r="O47" s="86">
        <v>1.25</v>
      </c>
    </row>
    <row r="48" spans="1:15" x14ac:dyDescent="0.25">
      <c r="A48" s="25">
        <f t="shared" si="1"/>
        <v>39</v>
      </c>
      <c r="B48" s="27"/>
      <c r="C48" s="27"/>
      <c r="D48" s="34">
        <v>2225</v>
      </c>
      <c r="E48" s="34" t="s">
        <v>86</v>
      </c>
      <c r="F48" s="29">
        <v>0.01</v>
      </c>
      <c r="G48" s="94" t="s">
        <v>134</v>
      </c>
      <c r="H48" s="30"/>
      <c r="I48" s="27">
        <v>3</v>
      </c>
      <c r="J48" s="31" t="s">
        <v>38</v>
      </c>
      <c r="K48" s="31">
        <v>3</v>
      </c>
      <c r="L48" s="94" t="s">
        <v>91</v>
      </c>
      <c r="M48" s="32">
        <f t="shared" si="2"/>
        <v>0.03</v>
      </c>
      <c r="N48" s="86">
        <f t="shared" si="0"/>
        <v>0.03</v>
      </c>
      <c r="O48" s="86">
        <v>1</v>
      </c>
    </row>
    <row r="49" spans="1:15" x14ac:dyDescent="0.25">
      <c r="A49" s="25">
        <f t="shared" si="1"/>
        <v>40</v>
      </c>
      <c r="B49" s="27"/>
      <c r="C49" s="27"/>
      <c r="D49" s="34">
        <v>2226</v>
      </c>
      <c r="E49" s="34"/>
      <c r="F49" s="29">
        <v>0.02</v>
      </c>
      <c r="G49" s="94" t="s">
        <v>134</v>
      </c>
      <c r="H49" s="30">
        <f>DATE(87,3,6)</f>
        <v>31842</v>
      </c>
      <c r="I49" s="27">
        <v>3</v>
      </c>
      <c r="J49" s="31" t="s">
        <v>38</v>
      </c>
      <c r="K49" s="31">
        <v>1</v>
      </c>
      <c r="L49" s="94" t="s">
        <v>148</v>
      </c>
      <c r="M49" s="32">
        <f t="shared" si="2"/>
        <v>0.06</v>
      </c>
      <c r="N49" s="86">
        <f t="shared" si="0"/>
        <v>0.06</v>
      </c>
      <c r="O49" s="86">
        <v>0.4</v>
      </c>
    </row>
    <row r="50" spans="1:15" x14ac:dyDescent="0.25">
      <c r="A50" s="25">
        <f t="shared" si="1"/>
        <v>41</v>
      </c>
      <c r="B50" s="27"/>
      <c r="C50" s="27"/>
      <c r="D50" s="34">
        <v>2226</v>
      </c>
      <c r="E50" s="34" t="s">
        <v>88</v>
      </c>
      <c r="F50" s="29">
        <v>0.02</v>
      </c>
      <c r="G50" s="94" t="s">
        <v>134</v>
      </c>
      <c r="H50" s="30"/>
      <c r="I50" s="27">
        <v>3</v>
      </c>
      <c r="J50" s="31" t="s">
        <v>38</v>
      </c>
      <c r="K50" s="31">
        <v>2</v>
      </c>
      <c r="L50" s="94" t="s">
        <v>91</v>
      </c>
      <c r="M50" s="32">
        <f t="shared" si="2"/>
        <v>0.06</v>
      </c>
      <c r="N50" s="86">
        <f t="shared" si="0"/>
        <v>0.06</v>
      </c>
      <c r="O50" s="86">
        <v>2</v>
      </c>
    </row>
    <row r="51" spans="1:15" x14ac:dyDescent="0.25">
      <c r="A51" s="25">
        <f t="shared" si="1"/>
        <v>42</v>
      </c>
      <c r="B51" s="27"/>
      <c r="C51" s="27"/>
      <c r="D51" s="34">
        <v>2228</v>
      </c>
      <c r="E51" s="34"/>
      <c r="F51" s="29">
        <v>0.04</v>
      </c>
      <c r="G51" s="94" t="s">
        <v>134</v>
      </c>
      <c r="H51" s="96">
        <f>DATE(86,8,1)</f>
        <v>31625</v>
      </c>
      <c r="I51" s="27">
        <v>3</v>
      </c>
      <c r="J51" s="31" t="s">
        <v>38</v>
      </c>
      <c r="K51" s="31">
        <v>1</v>
      </c>
      <c r="L51" s="94" t="s">
        <v>148</v>
      </c>
      <c r="M51" s="32">
        <f t="shared" si="2"/>
        <v>0.12</v>
      </c>
      <c r="N51" s="86">
        <f t="shared" si="0"/>
        <v>0.12</v>
      </c>
      <c r="O51" s="86">
        <v>1.5</v>
      </c>
    </row>
    <row r="52" spans="1:15" x14ac:dyDescent="0.25">
      <c r="A52" s="25">
        <f t="shared" si="1"/>
        <v>43</v>
      </c>
      <c r="B52" s="27"/>
      <c r="C52" s="27"/>
      <c r="D52" s="34">
        <v>2231</v>
      </c>
      <c r="E52" s="34"/>
      <c r="F52" s="29">
        <v>8.3000000000000004E-2</v>
      </c>
      <c r="G52" s="94" t="s">
        <v>134</v>
      </c>
      <c r="H52" s="30">
        <f>DATE(86,8,29)</f>
        <v>31653</v>
      </c>
      <c r="I52" s="27">
        <v>3</v>
      </c>
      <c r="J52" s="31" t="s">
        <v>38</v>
      </c>
      <c r="K52" s="31">
        <v>1</v>
      </c>
      <c r="L52" s="94" t="s">
        <v>149</v>
      </c>
      <c r="M52" s="32">
        <f t="shared" si="2"/>
        <v>0.249</v>
      </c>
      <c r="N52" s="86">
        <f t="shared" si="0"/>
        <v>0.249</v>
      </c>
      <c r="O52" s="86">
        <v>4.5</v>
      </c>
    </row>
    <row r="53" spans="1:15" x14ac:dyDescent="0.25">
      <c r="A53" s="25">
        <f t="shared" si="1"/>
        <v>44</v>
      </c>
      <c r="B53" s="27"/>
      <c r="C53" s="27"/>
      <c r="D53" s="34">
        <v>2252</v>
      </c>
      <c r="E53" s="34"/>
      <c r="F53" s="29">
        <v>0.03</v>
      </c>
      <c r="G53" s="94" t="s">
        <v>134</v>
      </c>
      <c r="H53" s="30">
        <f>DATE(88,2,29)</f>
        <v>32202</v>
      </c>
      <c r="I53" s="27">
        <v>3</v>
      </c>
      <c r="J53" s="31" t="s">
        <v>38</v>
      </c>
      <c r="K53" s="31">
        <v>1</v>
      </c>
      <c r="L53" s="94"/>
      <c r="M53" s="32">
        <f t="shared" si="2"/>
        <v>0.09</v>
      </c>
      <c r="N53" s="86">
        <f t="shared" si="0"/>
        <v>0.09</v>
      </c>
      <c r="O53" s="86">
        <v>1</v>
      </c>
    </row>
    <row r="54" spans="1:15" x14ac:dyDescent="0.25">
      <c r="A54" s="25">
        <f t="shared" si="1"/>
        <v>45</v>
      </c>
      <c r="B54" s="27"/>
      <c r="C54" s="27"/>
      <c r="D54" s="97">
        <v>2252</v>
      </c>
      <c r="E54" s="34" t="s">
        <v>88</v>
      </c>
      <c r="F54" s="29">
        <v>0.03</v>
      </c>
      <c r="G54" s="94" t="s">
        <v>134</v>
      </c>
      <c r="H54" s="96">
        <f>DATE(95,5,1)</f>
        <v>34820</v>
      </c>
      <c r="I54" s="27">
        <v>5</v>
      </c>
      <c r="J54" s="31" t="s">
        <v>38</v>
      </c>
      <c r="K54" s="31">
        <v>3</v>
      </c>
      <c r="L54" s="94" t="s">
        <v>150</v>
      </c>
      <c r="M54" s="32">
        <f t="shared" si="2"/>
        <v>0.15</v>
      </c>
      <c r="N54" s="86">
        <f t="shared" si="0"/>
        <v>0.15</v>
      </c>
      <c r="O54" s="98">
        <v>1.25</v>
      </c>
    </row>
    <row r="55" spans="1:15" x14ac:dyDescent="0.25">
      <c r="A55" s="25">
        <f t="shared" si="1"/>
        <v>46</v>
      </c>
      <c r="B55" s="27"/>
      <c r="C55" s="27"/>
      <c r="D55" s="34">
        <v>2253</v>
      </c>
      <c r="E55" s="34"/>
      <c r="F55" s="29">
        <v>0.05</v>
      </c>
      <c r="G55" s="94" t="s">
        <v>134</v>
      </c>
      <c r="H55" s="30">
        <f>DATE(87,9,25)</f>
        <v>32045</v>
      </c>
      <c r="I55" s="27">
        <v>3</v>
      </c>
      <c r="J55" s="31" t="s">
        <v>38</v>
      </c>
      <c r="K55" s="31">
        <v>1</v>
      </c>
      <c r="L55" s="94"/>
      <c r="M55" s="32">
        <f t="shared" si="2"/>
        <v>0.15000000000000002</v>
      </c>
      <c r="N55" s="86">
        <f t="shared" si="0"/>
        <v>0.15000000000000002</v>
      </c>
      <c r="O55" s="86">
        <v>1.25</v>
      </c>
    </row>
    <row r="56" spans="1:15" x14ac:dyDescent="0.25">
      <c r="A56" s="25">
        <f t="shared" si="1"/>
        <v>47</v>
      </c>
      <c r="B56" s="27"/>
      <c r="C56" s="27"/>
      <c r="D56" s="34">
        <v>2254</v>
      </c>
      <c r="E56" s="34"/>
      <c r="F56" s="29">
        <v>5.2999999999999999E-2</v>
      </c>
      <c r="G56" s="94" t="s">
        <v>134</v>
      </c>
      <c r="H56" s="30">
        <f>DATE(88,9,16)</f>
        <v>32402</v>
      </c>
      <c r="I56" s="27">
        <v>3</v>
      </c>
      <c r="J56" s="31" t="s">
        <v>38</v>
      </c>
      <c r="K56" s="31">
        <v>1</v>
      </c>
      <c r="L56" s="94" t="s">
        <v>149</v>
      </c>
      <c r="M56" s="32">
        <f t="shared" si="2"/>
        <v>0.159</v>
      </c>
      <c r="N56" s="86">
        <f t="shared" si="0"/>
        <v>0.159</v>
      </c>
      <c r="O56" s="86">
        <v>1.4</v>
      </c>
    </row>
    <row r="57" spans="1:15" x14ac:dyDescent="0.25">
      <c r="A57" s="25">
        <f t="shared" si="1"/>
        <v>48</v>
      </c>
      <c r="B57" s="27"/>
      <c r="C57" s="27"/>
      <c r="D57" s="34">
        <v>2255</v>
      </c>
      <c r="E57" s="34"/>
      <c r="F57" s="29">
        <v>0.76</v>
      </c>
      <c r="G57" s="94" t="s">
        <v>134</v>
      </c>
      <c r="H57" s="30">
        <f>DATE(88,8,30)</f>
        <v>32385</v>
      </c>
      <c r="I57" s="27">
        <v>3</v>
      </c>
      <c r="J57" s="31" t="s">
        <v>38</v>
      </c>
      <c r="K57" s="31">
        <v>1</v>
      </c>
      <c r="L57" s="94" t="s">
        <v>149</v>
      </c>
      <c r="M57" s="32">
        <f t="shared" si="2"/>
        <v>2.2800000000000002</v>
      </c>
      <c r="N57" s="86">
        <f t="shared" si="0"/>
        <v>2.2800000000000002</v>
      </c>
      <c r="O57" s="86">
        <v>1.75</v>
      </c>
    </row>
    <row r="58" spans="1:15" x14ac:dyDescent="0.25">
      <c r="A58" s="25">
        <f t="shared" si="1"/>
        <v>49</v>
      </c>
      <c r="B58" s="27"/>
      <c r="C58" s="27"/>
      <c r="D58" s="34">
        <v>2256</v>
      </c>
      <c r="E58" s="34"/>
      <c r="F58" s="29">
        <v>8.4000000000000005E-2</v>
      </c>
      <c r="G58" s="94" t="s">
        <v>134</v>
      </c>
      <c r="H58" s="30">
        <f>DATE(88,8,12)</f>
        <v>32367</v>
      </c>
      <c r="I58" s="27">
        <v>3</v>
      </c>
      <c r="J58" s="31" t="s">
        <v>38</v>
      </c>
      <c r="K58" s="31">
        <v>1</v>
      </c>
      <c r="L58" s="94" t="s">
        <v>149</v>
      </c>
      <c r="M58" s="32">
        <f t="shared" si="2"/>
        <v>0.252</v>
      </c>
      <c r="N58" s="86">
        <f t="shared" si="0"/>
        <v>0.252</v>
      </c>
      <c r="O58" s="86">
        <v>1.9</v>
      </c>
    </row>
    <row r="59" spans="1:15" x14ac:dyDescent="0.25">
      <c r="A59" s="25">
        <f t="shared" si="1"/>
        <v>50</v>
      </c>
      <c r="B59" s="27"/>
      <c r="C59" s="27"/>
      <c r="D59" s="34">
        <v>2257</v>
      </c>
      <c r="E59" s="34"/>
      <c r="F59" s="29">
        <v>0.1</v>
      </c>
      <c r="G59" s="94" t="s">
        <v>134</v>
      </c>
      <c r="H59" s="30">
        <f>DATE(87,4,11)</f>
        <v>31878</v>
      </c>
      <c r="I59" s="27">
        <v>3</v>
      </c>
      <c r="J59" s="31" t="s">
        <v>38</v>
      </c>
      <c r="K59" s="31">
        <v>1</v>
      </c>
      <c r="L59" s="94" t="s">
        <v>151</v>
      </c>
      <c r="M59" s="32">
        <f t="shared" si="2"/>
        <v>0.30000000000000004</v>
      </c>
      <c r="N59" s="86">
        <f t="shared" si="0"/>
        <v>0.30000000000000004</v>
      </c>
      <c r="O59" s="86">
        <v>1.75</v>
      </c>
    </row>
    <row r="60" spans="1:15" x14ac:dyDescent="0.25">
      <c r="A60" s="25">
        <f t="shared" si="1"/>
        <v>51</v>
      </c>
      <c r="B60" s="27"/>
      <c r="C60" s="27"/>
      <c r="D60" s="34">
        <v>2257</v>
      </c>
      <c r="E60" s="34" t="s">
        <v>86</v>
      </c>
      <c r="F60" s="29">
        <v>0.1</v>
      </c>
      <c r="G60" s="94" t="s">
        <v>134</v>
      </c>
      <c r="H60" s="96">
        <f>DATE(93,9,1)</f>
        <v>34213</v>
      </c>
      <c r="I60" s="27">
        <v>3</v>
      </c>
      <c r="J60" s="31" t="s">
        <v>38</v>
      </c>
      <c r="K60" s="31">
        <v>2</v>
      </c>
      <c r="L60" s="40" t="s">
        <v>152</v>
      </c>
      <c r="M60" s="32">
        <f t="shared" si="2"/>
        <v>0.30000000000000004</v>
      </c>
      <c r="N60" s="86">
        <f t="shared" si="0"/>
        <v>0.30000000000000004</v>
      </c>
      <c r="O60" s="86">
        <v>2.5</v>
      </c>
    </row>
    <row r="61" spans="1:15" x14ac:dyDescent="0.25">
      <c r="A61" s="25">
        <f t="shared" si="1"/>
        <v>52</v>
      </c>
      <c r="B61" s="27"/>
      <c r="C61" s="27"/>
      <c r="D61" s="34">
        <v>2258</v>
      </c>
      <c r="E61" s="34"/>
      <c r="F61" s="29">
        <v>0.13</v>
      </c>
      <c r="G61" s="94" t="s">
        <v>134</v>
      </c>
      <c r="H61" s="30">
        <f>DATE(88,10,29)</f>
        <v>32445</v>
      </c>
      <c r="I61" s="27">
        <v>3</v>
      </c>
      <c r="J61" s="31" t="s">
        <v>38</v>
      </c>
      <c r="K61" s="31">
        <v>1</v>
      </c>
      <c r="L61" s="94" t="s">
        <v>149</v>
      </c>
      <c r="M61" s="32">
        <f t="shared" si="2"/>
        <v>0.39</v>
      </c>
      <c r="N61" s="86">
        <f t="shared" si="0"/>
        <v>0.39</v>
      </c>
      <c r="O61" s="86">
        <v>4.5</v>
      </c>
    </row>
    <row r="62" spans="1:15" x14ac:dyDescent="0.25">
      <c r="A62" s="25">
        <f t="shared" si="1"/>
        <v>53</v>
      </c>
      <c r="B62" s="26" t="s">
        <v>36</v>
      </c>
      <c r="C62" s="27"/>
      <c r="D62" s="34">
        <v>2259</v>
      </c>
      <c r="E62" s="34"/>
      <c r="F62" s="29">
        <v>0.13200000000000001</v>
      </c>
      <c r="G62" s="94" t="s">
        <v>134</v>
      </c>
      <c r="H62" s="30">
        <f>DATE(88,7,19)</f>
        <v>32343</v>
      </c>
      <c r="I62" s="27">
        <v>3</v>
      </c>
      <c r="J62" s="31" t="s">
        <v>38</v>
      </c>
      <c r="K62" s="31">
        <v>1</v>
      </c>
      <c r="L62" s="94" t="s">
        <v>149</v>
      </c>
      <c r="M62" s="32">
        <f t="shared" si="2"/>
        <v>0.39600000000000002</v>
      </c>
      <c r="N62" s="86">
        <f t="shared" si="0"/>
        <v>0.39600000000000002</v>
      </c>
      <c r="O62" s="86">
        <v>2.75</v>
      </c>
    </row>
    <row r="63" spans="1:15" x14ac:dyDescent="0.25">
      <c r="A63" s="25">
        <f t="shared" si="1"/>
        <v>54</v>
      </c>
      <c r="B63" s="27"/>
      <c r="C63" s="27"/>
      <c r="D63" s="34">
        <v>2260</v>
      </c>
      <c r="E63" s="34"/>
      <c r="F63" s="29">
        <v>0.15</v>
      </c>
      <c r="G63" s="94" t="s">
        <v>134</v>
      </c>
      <c r="H63" s="30">
        <f>DATE(88,7,12)</f>
        <v>32336</v>
      </c>
      <c r="I63" s="27">
        <v>3</v>
      </c>
      <c r="J63" s="31" t="s">
        <v>38</v>
      </c>
      <c r="K63" s="31">
        <v>1</v>
      </c>
      <c r="L63" s="94" t="s">
        <v>151</v>
      </c>
      <c r="M63" s="32">
        <f t="shared" si="2"/>
        <v>0.44999999999999996</v>
      </c>
      <c r="N63" s="86">
        <f t="shared" si="0"/>
        <v>0.44999999999999996</v>
      </c>
      <c r="O63" s="86">
        <v>1.75</v>
      </c>
    </row>
    <row r="64" spans="1:15" x14ac:dyDescent="0.25">
      <c r="A64" s="25">
        <f t="shared" si="1"/>
        <v>55</v>
      </c>
      <c r="B64" s="27"/>
      <c r="C64" s="27"/>
      <c r="D64" s="34">
        <v>2261</v>
      </c>
      <c r="E64" s="34"/>
      <c r="F64" s="29">
        <v>0.16700000000000001</v>
      </c>
      <c r="G64" s="94" t="s">
        <v>134</v>
      </c>
      <c r="H64" s="30">
        <f>DATE(88,7,7)</f>
        <v>32331</v>
      </c>
      <c r="I64" s="27">
        <v>3</v>
      </c>
      <c r="J64" s="31" t="s">
        <v>38</v>
      </c>
      <c r="K64" s="31">
        <v>1</v>
      </c>
      <c r="L64" s="94" t="s">
        <v>149</v>
      </c>
      <c r="M64" s="32">
        <f t="shared" si="2"/>
        <v>0.501</v>
      </c>
      <c r="N64" s="86">
        <f t="shared" si="0"/>
        <v>0.501</v>
      </c>
      <c r="O64" s="86">
        <v>2.25</v>
      </c>
    </row>
    <row r="65" spans="1:15" x14ac:dyDescent="0.25">
      <c r="A65" s="25">
        <f t="shared" si="1"/>
        <v>56</v>
      </c>
      <c r="B65" s="27"/>
      <c r="C65" s="27"/>
      <c r="D65" s="34">
        <v>2262</v>
      </c>
      <c r="E65" s="34"/>
      <c r="F65" s="29">
        <v>0.17499999999999999</v>
      </c>
      <c r="G65" s="94" t="s">
        <v>134</v>
      </c>
      <c r="H65" s="30">
        <f>DATE(87,9,25)</f>
        <v>32045</v>
      </c>
      <c r="I65" s="27">
        <v>3</v>
      </c>
      <c r="J65" s="31" t="s">
        <v>38</v>
      </c>
      <c r="K65" s="31">
        <v>1</v>
      </c>
      <c r="L65" s="31"/>
      <c r="M65" s="32">
        <f t="shared" si="2"/>
        <v>0.52499999999999991</v>
      </c>
      <c r="N65" s="86">
        <f t="shared" si="0"/>
        <v>0.52499999999999991</v>
      </c>
      <c r="O65" s="86">
        <v>4</v>
      </c>
    </row>
    <row r="66" spans="1:15" x14ac:dyDescent="0.25">
      <c r="A66" s="25">
        <f t="shared" si="1"/>
        <v>57</v>
      </c>
      <c r="B66" s="27"/>
      <c r="C66" s="27"/>
      <c r="D66" s="34">
        <v>2263</v>
      </c>
      <c r="E66" s="34"/>
      <c r="F66" s="29">
        <v>0.2</v>
      </c>
      <c r="G66" s="94" t="s">
        <v>134</v>
      </c>
      <c r="H66" s="30">
        <f>DATE(88,10,28)</f>
        <v>32444</v>
      </c>
      <c r="I66" s="27">
        <v>3</v>
      </c>
      <c r="J66" s="31" t="s">
        <v>38</v>
      </c>
      <c r="K66" s="31">
        <v>1</v>
      </c>
      <c r="L66" s="94" t="s">
        <v>151</v>
      </c>
      <c r="M66" s="32">
        <f t="shared" si="2"/>
        <v>0.60000000000000009</v>
      </c>
      <c r="N66" s="86">
        <f t="shared" si="0"/>
        <v>0.60000000000000009</v>
      </c>
      <c r="O66" s="86">
        <v>3</v>
      </c>
    </row>
    <row r="67" spans="1:15" x14ac:dyDescent="0.25">
      <c r="A67" s="25">
        <f t="shared" si="1"/>
        <v>58</v>
      </c>
      <c r="B67" s="27"/>
      <c r="C67" s="27"/>
      <c r="D67" s="34">
        <v>2264</v>
      </c>
      <c r="E67" s="34"/>
      <c r="F67" s="29">
        <v>0.20499999999999999</v>
      </c>
      <c r="G67" s="94" t="s">
        <v>134</v>
      </c>
      <c r="H67" s="30">
        <f>DATE(88,9,28)</f>
        <v>32414</v>
      </c>
      <c r="I67" s="27">
        <v>3</v>
      </c>
      <c r="J67" s="31" t="s">
        <v>38</v>
      </c>
      <c r="K67" s="31">
        <v>1</v>
      </c>
      <c r="L67" s="94" t="s">
        <v>149</v>
      </c>
      <c r="M67" s="32">
        <f t="shared" si="2"/>
        <v>0.61499999999999999</v>
      </c>
      <c r="N67" s="86">
        <f t="shared" si="0"/>
        <v>0.61499999999999999</v>
      </c>
      <c r="O67" s="86">
        <v>4.5</v>
      </c>
    </row>
    <row r="68" spans="1:15" x14ac:dyDescent="0.25">
      <c r="A68" s="25">
        <f t="shared" si="1"/>
        <v>59</v>
      </c>
      <c r="B68" s="27"/>
      <c r="C68" s="27"/>
      <c r="D68" s="34">
        <v>2265</v>
      </c>
      <c r="E68" s="34"/>
      <c r="F68" s="29">
        <v>0.21</v>
      </c>
      <c r="G68" s="94" t="s">
        <v>134</v>
      </c>
      <c r="H68" s="30">
        <f>DATE(88,8,16)</f>
        <v>32371</v>
      </c>
      <c r="I68" s="27">
        <v>3</v>
      </c>
      <c r="J68" s="31" t="s">
        <v>38</v>
      </c>
      <c r="K68" s="31">
        <v>1</v>
      </c>
      <c r="L68" s="94" t="s">
        <v>149</v>
      </c>
      <c r="M68" s="32">
        <f t="shared" si="2"/>
        <v>0.63</v>
      </c>
      <c r="N68" s="86">
        <f t="shared" si="0"/>
        <v>0.63</v>
      </c>
      <c r="O68" s="86">
        <v>3</v>
      </c>
    </row>
    <row r="69" spans="1:15" x14ac:dyDescent="0.25">
      <c r="A69" s="25">
        <f t="shared" si="1"/>
        <v>60</v>
      </c>
      <c r="B69" s="27"/>
      <c r="C69" s="27"/>
      <c r="D69" s="34">
        <v>2266</v>
      </c>
      <c r="E69" s="34"/>
      <c r="F69" s="29">
        <v>0.24099999999999999</v>
      </c>
      <c r="G69" s="94" t="s">
        <v>134</v>
      </c>
      <c r="H69" s="30">
        <f>DATE(88,10,26)</f>
        <v>32442</v>
      </c>
      <c r="I69" s="27">
        <v>3</v>
      </c>
      <c r="J69" s="31" t="s">
        <v>38</v>
      </c>
      <c r="K69" s="31">
        <v>1</v>
      </c>
      <c r="L69" s="94" t="s">
        <v>149</v>
      </c>
      <c r="M69" s="32">
        <f t="shared" si="2"/>
        <v>0.72299999999999998</v>
      </c>
      <c r="N69" s="86">
        <f t="shared" si="0"/>
        <v>0.72299999999999998</v>
      </c>
      <c r="O69" s="86">
        <v>3.75</v>
      </c>
    </row>
    <row r="70" spans="1:15" x14ac:dyDescent="0.25">
      <c r="A70" s="25">
        <f t="shared" si="1"/>
        <v>61</v>
      </c>
      <c r="B70" s="27"/>
      <c r="C70" s="27"/>
      <c r="D70" s="34">
        <v>2279</v>
      </c>
      <c r="E70" s="34"/>
      <c r="F70" s="29">
        <v>0.25</v>
      </c>
      <c r="G70" s="40" t="s">
        <v>153</v>
      </c>
      <c r="H70" s="30">
        <f>DATE(88,3,22)</f>
        <v>32224</v>
      </c>
      <c r="I70" s="27">
        <v>3</v>
      </c>
      <c r="J70" s="31" t="s">
        <v>38</v>
      </c>
      <c r="K70" s="31">
        <v>1111</v>
      </c>
      <c r="L70" s="31"/>
      <c r="M70" s="32">
        <f t="shared" si="2"/>
        <v>0.75</v>
      </c>
      <c r="N70" s="86">
        <f t="shared" si="0"/>
        <v>0.75</v>
      </c>
      <c r="O70" s="86">
        <v>3</v>
      </c>
    </row>
    <row r="71" spans="1:15" x14ac:dyDescent="0.25">
      <c r="A71" s="25">
        <f t="shared" si="1"/>
        <v>62</v>
      </c>
      <c r="B71" s="27"/>
      <c r="C71" s="27"/>
      <c r="D71" s="34">
        <v>2280</v>
      </c>
      <c r="E71" s="34"/>
      <c r="F71" s="29">
        <v>0.25</v>
      </c>
      <c r="G71" s="94" t="s">
        <v>154</v>
      </c>
      <c r="H71" s="30">
        <f>DATE(88,5,20)</f>
        <v>32283</v>
      </c>
      <c r="I71" s="27">
        <v>3</v>
      </c>
      <c r="J71" s="31" t="s">
        <v>38</v>
      </c>
      <c r="K71" s="31">
        <v>1</v>
      </c>
      <c r="L71" s="31"/>
      <c r="M71" s="32">
        <f t="shared" si="2"/>
        <v>0.75</v>
      </c>
      <c r="N71" s="86">
        <f t="shared" si="0"/>
        <v>0.75</v>
      </c>
      <c r="O71" s="86">
        <v>3.5</v>
      </c>
    </row>
    <row r="72" spans="1:15" x14ac:dyDescent="0.25">
      <c r="A72" s="25">
        <f t="shared" si="1"/>
        <v>63</v>
      </c>
      <c r="B72" s="27"/>
      <c r="C72" s="27"/>
      <c r="D72" s="34">
        <v>2280</v>
      </c>
      <c r="E72" s="34" t="s">
        <v>88</v>
      </c>
      <c r="F72" s="29">
        <v>0.25</v>
      </c>
      <c r="G72" s="94" t="s">
        <v>154</v>
      </c>
      <c r="H72" s="30"/>
      <c r="I72" s="27">
        <v>3</v>
      </c>
      <c r="J72" s="31" t="s">
        <v>38</v>
      </c>
      <c r="K72" s="31">
        <v>8</v>
      </c>
      <c r="L72" s="94" t="s">
        <v>155</v>
      </c>
      <c r="M72" s="32">
        <f t="shared" si="2"/>
        <v>0.75</v>
      </c>
      <c r="N72" s="86">
        <f t="shared" si="0"/>
        <v>0.75</v>
      </c>
      <c r="O72" s="86">
        <v>3</v>
      </c>
    </row>
    <row r="73" spans="1:15" x14ac:dyDescent="0.25">
      <c r="A73" s="25">
        <f t="shared" si="1"/>
        <v>64</v>
      </c>
      <c r="B73" s="27"/>
      <c r="C73" s="27"/>
      <c r="D73" s="34">
        <v>2281</v>
      </c>
      <c r="E73" s="34"/>
      <c r="F73" s="29">
        <v>0.25</v>
      </c>
      <c r="G73" s="94" t="s">
        <v>156</v>
      </c>
      <c r="H73" s="30">
        <f>DATE(88,9,2)</f>
        <v>32388</v>
      </c>
      <c r="I73" s="27">
        <v>3</v>
      </c>
      <c r="J73" s="31" t="s">
        <v>38</v>
      </c>
      <c r="K73" s="31">
        <v>2</v>
      </c>
      <c r="L73" s="31"/>
      <c r="M73" s="32">
        <f t="shared" si="2"/>
        <v>0.75</v>
      </c>
      <c r="N73" s="86">
        <f t="shared" si="0"/>
        <v>0.75</v>
      </c>
      <c r="O73" s="86">
        <v>3.5</v>
      </c>
    </row>
    <row r="74" spans="1:15" x14ac:dyDescent="0.25">
      <c r="A74" s="25">
        <f t="shared" si="1"/>
        <v>65</v>
      </c>
      <c r="B74" s="27"/>
      <c r="C74" s="27"/>
      <c r="D74" s="34">
        <v>2431</v>
      </c>
      <c r="E74" s="34"/>
      <c r="F74" s="29">
        <v>0.25</v>
      </c>
      <c r="G74" s="94" t="s">
        <v>157</v>
      </c>
      <c r="H74" s="30">
        <f>DATE(89,11,10)</f>
        <v>32822</v>
      </c>
      <c r="I74" s="27">
        <v>18</v>
      </c>
      <c r="J74" s="31" t="s">
        <v>40</v>
      </c>
      <c r="K74" s="31" t="s">
        <v>39</v>
      </c>
      <c r="L74" s="31"/>
      <c r="M74" s="32">
        <f t="shared" si="2"/>
        <v>4.5</v>
      </c>
      <c r="N74" s="86">
        <v>5</v>
      </c>
      <c r="O74" s="86">
        <v>11</v>
      </c>
    </row>
    <row r="75" spans="1:15" x14ac:dyDescent="0.25">
      <c r="A75" s="25">
        <f t="shared" ref="A75:A88" si="3">A74+1</f>
        <v>66</v>
      </c>
      <c r="B75" s="27"/>
      <c r="C75" s="27"/>
      <c r="D75" s="34">
        <v>2451</v>
      </c>
      <c r="E75" s="34"/>
      <c r="F75" s="29">
        <v>0.04</v>
      </c>
      <c r="G75" s="94" t="s">
        <v>134</v>
      </c>
      <c r="H75" s="30">
        <f>DATE(91,1,25)</f>
        <v>33263</v>
      </c>
      <c r="I75" s="27">
        <v>3</v>
      </c>
      <c r="J75" s="31" t="s">
        <v>38</v>
      </c>
      <c r="K75" s="31">
        <v>1</v>
      </c>
      <c r="L75" s="31"/>
      <c r="M75" s="32">
        <f t="shared" si="2"/>
        <v>0.12</v>
      </c>
      <c r="N75" s="86">
        <f t="shared" ref="N75:N88" si="4">M75</f>
        <v>0.12</v>
      </c>
      <c r="O75" s="86">
        <v>1.25</v>
      </c>
    </row>
    <row r="76" spans="1:15" x14ac:dyDescent="0.25">
      <c r="A76" s="25">
        <f t="shared" si="3"/>
        <v>67</v>
      </c>
      <c r="B76" s="27"/>
      <c r="C76" s="27"/>
      <c r="D76" s="34">
        <v>2452</v>
      </c>
      <c r="E76" s="34"/>
      <c r="F76" s="29">
        <v>0.05</v>
      </c>
      <c r="G76" s="94" t="s">
        <v>134</v>
      </c>
      <c r="H76" s="30">
        <f>DATE(90,8,31)</f>
        <v>33116</v>
      </c>
      <c r="I76" s="27">
        <v>3</v>
      </c>
      <c r="J76" s="31" t="s">
        <v>38</v>
      </c>
      <c r="K76" s="31">
        <v>1</v>
      </c>
      <c r="L76" s="94" t="s">
        <v>145</v>
      </c>
      <c r="M76" s="32">
        <f>IF(F76*I76&gt;0,F76*I76," ")</f>
        <v>0.15000000000000002</v>
      </c>
      <c r="N76" s="86">
        <f t="shared" si="4"/>
        <v>0.15000000000000002</v>
      </c>
      <c r="O76" s="86">
        <v>1.25</v>
      </c>
    </row>
    <row r="77" spans="1:15" x14ac:dyDescent="0.25">
      <c r="A77" s="25">
        <f t="shared" si="3"/>
        <v>68</v>
      </c>
      <c r="B77" s="27"/>
      <c r="C77" s="27"/>
      <c r="D77" s="28" t="s">
        <v>158</v>
      </c>
      <c r="E77" s="34"/>
      <c r="F77" s="29">
        <v>0.05</v>
      </c>
      <c r="G77" s="94" t="s">
        <v>134</v>
      </c>
      <c r="H77" s="30">
        <f>DATE(92,12,8)</f>
        <v>33946</v>
      </c>
      <c r="I77" s="27">
        <v>3</v>
      </c>
      <c r="J77" s="31" t="s">
        <v>38</v>
      </c>
      <c r="K77" s="31" t="s">
        <v>159</v>
      </c>
      <c r="L77" s="94" t="s">
        <v>91</v>
      </c>
      <c r="M77" s="32">
        <f>IF(F77*I77&gt;0,F77*I77," ")</f>
        <v>0.15000000000000002</v>
      </c>
      <c r="N77" s="86">
        <f t="shared" si="4"/>
        <v>0.15000000000000002</v>
      </c>
      <c r="O77" s="86">
        <v>1.25</v>
      </c>
    </row>
    <row r="78" spans="1:15" x14ac:dyDescent="0.25">
      <c r="A78" s="25">
        <f t="shared" si="3"/>
        <v>69</v>
      </c>
      <c r="B78" s="27"/>
      <c r="C78" s="27"/>
      <c r="D78" s="99" t="s">
        <v>160</v>
      </c>
      <c r="E78" s="34"/>
      <c r="F78" s="29">
        <v>0.05</v>
      </c>
      <c r="G78" s="94" t="s">
        <v>134</v>
      </c>
      <c r="H78" s="30">
        <f>DATE(95,3,20)</f>
        <v>34778</v>
      </c>
      <c r="I78" s="27">
        <v>5</v>
      </c>
      <c r="J78" s="31" t="s">
        <v>38</v>
      </c>
      <c r="K78" s="31" t="s">
        <v>161</v>
      </c>
      <c r="L78" s="31"/>
      <c r="M78" s="32">
        <f>IF(F78*I78&gt;0,F78*I78," ")</f>
        <v>0.25</v>
      </c>
      <c r="N78" s="86">
        <f t="shared" si="4"/>
        <v>0.25</v>
      </c>
      <c r="O78" s="86">
        <v>1.25</v>
      </c>
    </row>
    <row r="79" spans="1:15" x14ac:dyDescent="0.25">
      <c r="A79" s="25">
        <f t="shared" si="3"/>
        <v>70</v>
      </c>
      <c r="B79" s="27"/>
      <c r="C79" s="27"/>
      <c r="D79" s="34">
        <v>2453</v>
      </c>
      <c r="E79" s="34"/>
      <c r="F79" s="29">
        <v>0.05</v>
      </c>
      <c r="G79" s="94" t="s">
        <v>134</v>
      </c>
      <c r="H79" s="30">
        <f>DATE(91,5,25)</f>
        <v>33383</v>
      </c>
      <c r="I79" s="27">
        <v>3</v>
      </c>
      <c r="J79" s="31" t="s">
        <v>38</v>
      </c>
      <c r="K79" s="31">
        <v>1</v>
      </c>
      <c r="L79" s="27" t="s">
        <v>149</v>
      </c>
      <c r="M79" s="32">
        <f>IF(F79*I79&gt;0,F79*I79," ")</f>
        <v>0.15000000000000002</v>
      </c>
      <c r="N79" s="86">
        <f t="shared" si="4"/>
        <v>0.15000000000000002</v>
      </c>
      <c r="O79" s="86">
        <v>1.5</v>
      </c>
    </row>
    <row r="80" spans="1:15" x14ac:dyDescent="0.25">
      <c r="A80" s="25">
        <f t="shared" si="3"/>
        <v>71</v>
      </c>
      <c r="B80" s="27"/>
      <c r="C80" s="27"/>
      <c r="D80" s="34">
        <v>2454</v>
      </c>
      <c r="E80" s="34"/>
      <c r="F80" s="29">
        <v>0.05</v>
      </c>
      <c r="G80" s="94" t="s">
        <v>134</v>
      </c>
      <c r="H80" s="30">
        <f>DATE(91,10,22)</f>
        <v>33533</v>
      </c>
      <c r="I80" s="27">
        <v>3</v>
      </c>
      <c r="J80" s="31" t="s">
        <v>38</v>
      </c>
      <c r="K80" s="31" t="s">
        <v>162</v>
      </c>
      <c r="L80" s="27" t="s">
        <v>149</v>
      </c>
      <c r="M80" s="32">
        <f>IF(F80*I80&gt;0,F80*I80," ")</f>
        <v>0.15000000000000002</v>
      </c>
      <c r="N80" s="86">
        <f t="shared" si="4"/>
        <v>0.15000000000000002</v>
      </c>
      <c r="O80" s="86">
        <v>2.25</v>
      </c>
    </row>
    <row r="81" spans="1:15" x14ac:dyDescent="0.25">
      <c r="A81" s="25">
        <f t="shared" si="3"/>
        <v>72</v>
      </c>
      <c r="B81" s="27"/>
      <c r="C81" s="27"/>
      <c r="D81" s="34">
        <v>2457</v>
      </c>
      <c r="E81" s="34"/>
      <c r="F81" s="29">
        <v>0.1</v>
      </c>
      <c r="G81" s="94" t="s">
        <v>134</v>
      </c>
      <c r="H81" s="30">
        <f>DATE(91,5,25)</f>
        <v>33383</v>
      </c>
      <c r="I81" s="27">
        <v>3</v>
      </c>
      <c r="J81" s="31" t="s">
        <v>38</v>
      </c>
      <c r="K81" s="31">
        <v>1</v>
      </c>
      <c r="L81" s="27" t="s">
        <v>149</v>
      </c>
      <c r="M81" s="32">
        <f t="shared" ref="M81:M88" si="5">IF(F81*I81&gt;0,F81*I81," ")</f>
        <v>0.30000000000000004</v>
      </c>
      <c r="N81" s="86">
        <f t="shared" si="4"/>
        <v>0.30000000000000004</v>
      </c>
      <c r="O81" s="86">
        <v>2</v>
      </c>
    </row>
    <row r="82" spans="1:15" x14ac:dyDescent="0.25">
      <c r="A82" s="25">
        <f t="shared" si="3"/>
        <v>73</v>
      </c>
      <c r="B82" s="27"/>
      <c r="C82" s="27"/>
      <c r="D82" s="34">
        <v>2458</v>
      </c>
      <c r="E82" s="34"/>
      <c r="F82" s="29">
        <v>0.1</v>
      </c>
      <c r="G82" s="94" t="s">
        <v>134</v>
      </c>
      <c r="H82" s="30">
        <f>DATE(94,5,25)</f>
        <v>34479</v>
      </c>
      <c r="I82" s="27">
        <v>3</v>
      </c>
      <c r="J82" s="31" t="s">
        <v>38</v>
      </c>
      <c r="K82" s="31">
        <v>22</v>
      </c>
      <c r="L82" s="27" t="s">
        <v>149</v>
      </c>
      <c r="M82" s="32">
        <f t="shared" si="5"/>
        <v>0.30000000000000004</v>
      </c>
      <c r="N82" s="86">
        <f t="shared" si="4"/>
        <v>0.30000000000000004</v>
      </c>
      <c r="O82" s="86">
        <v>3.5</v>
      </c>
    </row>
    <row r="83" spans="1:15" x14ac:dyDescent="0.25">
      <c r="A83" s="25">
        <f t="shared" si="3"/>
        <v>74</v>
      </c>
      <c r="B83" s="27"/>
      <c r="C83" s="27"/>
      <c r="D83" s="34">
        <v>2463</v>
      </c>
      <c r="E83" s="34"/>
      <c r="F83" s="29">
        <v>0.2</v>
      </c>
      <c r="G83" s="94" t="s">
        <v>134</v>
      </c>
      <c r="H83" s="30">
        <f>DATE(95,6,9)</f>
        <v>34859</v>
      </c>
      <c r="I83" s="27">
        <v>5</v>
      </c>
      <c r="J83" s="31" t="s">
        <v>38</v>
      </c>
      <c r="K83" s="31">
        <v>2</v>
      </c>
      <c r="L83" s="27"/>
      <c r="M83" s="32">
        <f t="shared" si="5"/>
        <v>1</v>
      </c>
      <c r="N83" s="86">
        <f t="shared" si="4"/>
        <v>1</v>
      </c>
      <c r="O83" s="86">
        <v>3</v>
      </c>
    </row>
    <row r="84" spans="1:15" x14ac:dyDescent="0.25">
      <c r="A84" s="25">
        <f t="shared" si="3"/>
        <v>75</v>
      </c>
      <c r="B84" s="27"/>
      <c r="C84" s="27"/>
      <c r="D84" s="34">
        <v>2464</v>
      </c>
      <c r="E84" s="34"/>
      <c r="F84" s="29">
        <v>0.23</v>
      </c>
      <c r="G84" s="94" t="s">
        <v>134</v>
      </c>
      <c r="H84" s="30">
        <f>DATE(91,4,12)</f>
        <v>33340</v>
      </c>
      <c r="I84" s="27">
        <v>3</v>
      </c>
      <c r="J84" s="31" t="s">
        <v>38</v>
      </c>
      <c r="K84" s="31">
        <v>2</v>
      </c>
      <c r="L84" s="40" t="s">
        <v>163</v>
      </c>
      <c r="M84" s="32">
        <f t="shared" si="5"/>
        <v>0.69000000000000006</v>
      </c>
      <c r="N84" s="86">
        <f t="shared" si="4"/>
        <v>0.69000000000000006</v>
      </c>
      <c r="O84" s="86">
        <v>3.25</v>
      </c>
    </row>
    <row r="85" spans="1:15" x14ac:dyDescent="0.25">
      <c r="A85" s="25">
        <f t="shared" si="3"/>
        <v>76</v>
      </c>
      <c r="B85" s="27"/>
      <c r="C85" s="27"/>
      <c r="D85" s="97">
        <v>2464</v>
      </c>
      <c r="E85" s="34" t="s">
        <v>88</v>
      </c>
      <c r="F85" s="29">
        <v>0.23</v>
      </c>
      <c r="G85" s="94" t="s">
        <v>134</v>
      </c>
      <c r="H85" s="96">
        <f>DATE(93,7,1)</f>
        <v>34151</v>
      </c>
      <c r="I85" s="27">
        <v>3</v>
      </c>
      <c r="J85" s="31" t="s">
        <v>38</v>
      </c>
      <c r="K85" s="31">
        <v>3</v>
      </c>
      <c r="L85" s="40" t="s">
        <v>164</v>
      </c>
      <c r="M85" s="32">
        <f t="shared" si="5"/>
        <v>0.69000000000000006</v>
      </c>
      <c r="N85" s="86">
        <f t="shared" si="4"/>
        <v>0.69000000000000006</v>
      </c>
      <c r="O85" s="86">
        <v>3.75</v>
      </c>
    </row>
    <row r="86" spans="1:15" x14ac:dyDescent="0.25">
      <c r="A86" s="25">
        <f t="shared" si="3"/>
        <v>77</v>
      </c>
      <c r="B86" s="27"/>
      <c r="C86" s="27"/>
      <c r="D86" s="97">
        <v>2466</v>
      </c>
      <c r="E86" s="34"/>
      <c r="F86" s="29">
        <v>0.32</v>
      </c>
      <c r="G86" s="94" t="s">
        <v>134</v>
      </c>
      <c r="H86" s="30">
        <f>DATE(95,6,2)</f>
        <v>34852</v>
      </c>
      <c r="I86" s="27">
        <v>5</v>
      </c>
      <c r="J86" s="31" t="s">
        <v>38</v>
      </c>
      <c r="K86" s="31">
        <v>2</v>
      </c>
      <c r="L86" s="40"/>
      <c r="M86" s="32">
        <f t="shared" si="5"/>
        <v>1.6</v>
      </c>
      <c r="N86" s="86">
        <f t="shared" si="4"/>
        <v>1.6</v>
      </c>
      <c r="O86" s="86">
        <v>4.25</v>
      </c>
    </row>
    <row r="87" spans="1:15" x14ac:dyDescent="0.25">
      <c r="A87" s="25">
        <f t="shared" si="3"/>
        <v>78</v>
      </c>
      <c r="B87" s="27"/>
      <c r="C87" s="27"/>
      <c r="D87" s="34">
        <v>2468</v>
      </c>
      <c r="E87" s="34"/>
      <c r="F87" s="29">
        <v>1</v>
      </c>
      <c r="G87" s="94" t="s">
        <v>134</v>
      </c>
      <c r="H87" s="30">
        <f>DATE(90,4,20)</f>
        <v>32983</v>
      </c>
      <c r="I87" s="27">
        <v>3</v>
      </c>
      <c r="J87" s="31" t="s">
        <v>38</v>
      </c>
      <c r="K87" s="31">
        <v>1</v>
      </c>
      <c r="L87" s="40" t="s">
        <v>163</v>
      </c>
      <c r="M87" s="32">
        <f t="shared" si="5"/>
        <v>3</v>
      </c>
      <c r="N87" s="86">
        <f t="shared" si="4"/>
        <v>3</v>
      </c>
      <c r="O87" s="86">
        <v>13</v>
      </c>
    </row>
    <row r="88" spans="1:15" ht="16.5" thickBot="1" x14ac:dyDescent="0.3">
      <c r="A88" s="25">
        <f t="shared" si="3"/>
        <v>79</v>
      </c>
      <c r="B88" s="27"/>
      <c r="C88" s="27"/>
      <c r="D88" s="97">
        <v>2468</v>
      </c>
      <c r="E88" s="100" t="s">
        <v>86</v>
      </c>
      <c r="F88" s="29">
        <v>1</v>
      </c>
      <c r="G88" s="94" t="s">
        <v>134</v>
      </c>
      <c r="H88" s="96">
        <f>DATE(93,9,1)</f>
        <v>34213</v>
      </c>
      <c r="I88" s="27">
        <v>3</v>
      </c>
      <c r="J88" s="31" t="s">
        <v>38</v>
      </c>
      <c r="K88" s="31">
        <v>3</v>
      </c>
      <c r="L88" s="40" t="s">
        <v>164</v>
      </c>
      <c r="M88" s="32">
        <f t="shared" si="5"/>
        <v>3</v>
      </c>
      <c r="N88" s="86">
        <f t="shared" si="4"/>
        <v>3</v>
      </c>
      <c r="O88" s="86">
        <v>14</v>
      </c>
    </row>
    <row r="89" spans="1:15" ht="16.5" thickTop="1" x14ac:dyDescent="0.25">
      <c r="A89" s="41"/>
      <c r="B89" s="42" t="s">
        <v>69</v>
      </c>
      <c r="C89" s="43"/>
      <c r="D89" s="44"/>
      <c r="E89" s="43"/>
      <c r="F89" s="45"/>
      <c r="G89" s="43"/>
      <c r="H89" s="43"/>
      <c r="I89" s="43"/>
      <c r="J89" s="46"/>
      <c r="K89" s="47"/>
      <c r="L89" s="47"/>
      <c r="M89" s="48"/>
      <c r="N89" s="49"/>
      <c r="O89" s="50"/>
    </row>
    <row r="90" spans="1:15" ht="16.5" thickBot="1" x14ac:dyDescent="0.3">
      <c r="A90" s="51"/>
      <c r="B90" s="52" t="s">
        <v>70</v>
      </c>
      <c r="C90" s="53"/>
      <c r="D90" s="54"/>
      <c r="E90" s="53"/>
      <c r="F90" s="55"/>
      <c r="G90" s="53"/>
      <c r="H90" s="53"/>
      <c r="I90" s="53"/>
      <c r="J90" s="56"/>
      <c r="K90" s="47"/>
      <c r="L90" s="57" t="s">
        <v>2</v>
      </c>
      <c r="M90" s="58"/>
      <c r="N90" s="58"/>
      <c r="O90" s="59"/>
    </row>
    <row r="91" spans="1:15" ht="16.5" thickTop="1" x14ac:dyDescent="0.25">
      <c r="A91" s="51"/>
      <c r="B91" s="52" t="s">
        <v>71</v>
      </c>
      <c r="C91" s="53"/>
      <c r="D91" s="54"/>
      <c r="E91" s="60"/>
      <c r="F91" s="61"/>
      <c r="G91" s="60"/>
      <c r="H91" s="60"/>
      <c r="I91" s="53"/>
      <c r="J91" s="56"/>
      <c r="K91" s="47"/>
      <c r="L91" s="62"/>
      <c r="M91" s="63"/>
      <c r="N91" s="63"/>
      <c r="O91" s="64"/>
    </row>
    <row r="92" spans="1:15" x14ac:dyDescent="0.25">
      <c r="A92" s="51"/>
      <c r="B92" s="52"/>
      <c r="C92" s="101"/>
      <c r="D92" s="102"/>
      <c r="E92" s="60"/>
      <c r="F92" s="61"/>
      <c r="G92" s="60"/>
      <c r="H92" s="60"/>
      <c r="I92" s="53"/>
      <c r="J92" s="56"/>
      <c r="K92" s="47"/>
      <c r="L92" s="65" t="s">
        <v>72</v>
      </c>
      <c r="M92" s="66"/>
      <c r="N92" s="67"/>
      <c r="O92" s="68">
        <f>SUM(M10:M88)</f>
        <v>44.70999999999998</v>
      </c>
    </row>
    <row r="93" spans="1:15" x14ac:dyDescent="0.25">
      <c r="A93" s="51"/>
      <c r="B93" s="69" t="s">
        <v>73</v>
      </c>
      <c r="C93" s="53"/>
      <c r="D93" s="54"/>
      <c r="E93" s="60"/>
      <c r="F93" s="61"/>
      <c r="G93" s="60"/>
      <c r="H93" s="60"/>
      <c r="I93" s="53"/>
      <c r="J93" s="56"/>
      <c r="K93" s="47"/>
      <c r="L93" s="65" t="s">
        <v>74</v>
      </c>
      <c r="M93" s="66"/>
      <c r="N93" s="67"/>
      <c r="O93" s="68">
        <f>SUM(N10:N88)</f>
        <v>45.20999999999998</v>
      </c>
    </row>
    <row r="94" spans="1:15" x14ac:dyDescent="0.25">
      <c r="A94" s="51"/>
      <c r="B94" s="69" t="s">
        <v>75</v>
      </c>
      <c r="C94" s="53"/>
      <c r="D94" s="54"/>
      <c r="E94" s="53"/>
      <c r="F94" s="55"/>
      <c r="G94" s="53"/>
      <c r="H94" s="53"/>
      <c r="I94" s="53"/>
      <c r="J94" s="56"/>
      <c r="K94" s="47"/>
      <c r="L94" s="65" t="s">
        <v>76</v>
      </c>
      <c r="M94" s="66"/>
      <c r="N94" s="67"/>
      <c r="O94" s="68">
        <f>SUM(O10:O88)</f>
        <v>265.85000000000002</v>
      </c>
    </row>
    <row r="95" spans="1:15" ht="16.5" thickBot="1" x14ac:dyDescent="0.3">
      <c r="A95" s="70"/>
      <c r="B95" s="71" t="s">
        <v>77</v>
      </c>
      <c r="C95" s="72"/>
      <c r="D95" s="73"/>
      <c r="E95" s="72"/>
      <c r="F95" s="74"/>
      <c r="G95" s="72"/>
      <c r="H95" s="72"/>
      <c r="I95" s="72"/>
      <c r="J95" s="75"/>
      <c r="K95" s="76"/>
      <c r="L95" s="77" t="s">
        <v>78</v>
      </c>
      <c r="M95" s="78"/>
      <c r="N95" s="78"/>
      <c r="O95" s="79">
        <f>SUM(I10:I88)</f>
        <v>278</v>
      </c>
    </row>
    <row r="96" spans="1:15" ht="16.5" thickTop="1" x14ac:dyDescent="0.25">
      <c r="A96" s="80"/>
      <c r="B96" s="81" t="s">
        <v>268</v>
      </c>
      <c r="C96" s="82"/>
      <c r="D96" s="82"/>
      <c r="E96" s="82"/>
      <c r="F96" s="83"/>
      <c r="G96" s="82"/>
      <c r="H96" s="82"/>
      <c r="I96" s="82"/>
      <c r="J96" s="84"/>
      <c r="K96" s="82"/>
      <c r="L96" s="82"/>
      <c r="M96" s="83"/>
      <c r="N96" s="83"/>
      <c r="O96" s="85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&amp;LREGPNC03.XLS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O100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2.42578125" style="11" customWidth="1"/>
    <col min="9" max="9" width="7.42578125" style="11" customWidth="1"/>
    <col min="10" max="10" width="6.140625" style="11" customWidth="1"/>
    <col min="11" max="11" width="11.28515625" style="11" customWidth="1"/>
    <col min="12" max="12" width="52.42578125" style="11" customWidth="1"/>
    <col min="13" max="14" width="10" style="11" customWidth="1"/>
    <col min="15" max="15" width="13.85546875" style="11" customWidth="1"/>
    <col min="16" max="16" width="2.28515625" style="11" customWidth="1"/>
    <col min="17" max="16384" width="12.5703125" style="11"/>
  </cols>
  <sheetData>
    <row r="1" spans="1:15" x14ac:dyDescent="0.25">
      <c r="N1" s="12" t="s">
        <v>15</v>
      </c>
    </row>
    <row r="3" spans="1:15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</row>
    <row r="4" spans="1:15" ht="30.75" x14ac:dyDescent="0.45">
      <c r="A4" s="13" t="s">
        <v>17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</row>
    <row r="5" spans="1:15" ht="30.75" x14ac:dyDescent="0.45">
      <c r="A5" s="13" t="s">
        <v>18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</row>
    <row r="6" spans="1:15" x14ac:dyDescent="0.25">
      <c r="N6" s="12" t="s">
        <v>3</v>
      </c>
    </row>
    <row r="8" spans="1:15" x14ac:dyDescent="0.25">
      <c r="A8" s="15" t="s">
        <v>19</v>
      </c>
      <c r="B8" s="16"/>
      <c r="C8" s="17" t="s">
        <v>20</v>
      </c>
      <c r="D8" s="18"/>
      <c r="E8" s="19"/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27</v>
      </c>
      <c r="M8" s="20" t="s">
        <v>5</v>
      </c>
      <c r="N8" s="20" t="s">
        <v>28</v>
      </c>
      <c r="O8" s="20" t="s">
        <v>29</v>
      </c>
    </row>
    <row r="9" spans="1:15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2"/>
      <c r="K9" s="24" t="s">
        <v>35</v>
      </c>
      <c r="L9" s="22"/>
      <c r="M9" s="24" t="s">
        <v>10</v>
      </c>
      <c r="N9" s="24" t="s">
        <v>11</v>
      </c>
      <c r="O9" s="24" t="s">
        <v>10</v>
      </c>
    </row>
    <row r="10" spans="1:15" s="133" customFormat="1" ht="16.5" thickTop="1" x14ac:dyDescent="0.25">
      <c r="A10" s="123">
        <v>1</v>
      </c>
      <c r="B10" s="124" t="s">
        <v>36</v>
      </c>
      <c r="C10" s="125"/>
      <c r="D10" s="126">
        <v>2489</v>
      </c>
      <c r="E10" s="125"/>
      <c r="F10" s="127">
        <v>0.28999999999999998</v>
      </c>
      <c r="G10" s="128" t="s">
        <v>165</v>
      </c>
      <c r="H10" s="129">
        <f>DATE(93,6,25)</f>
        <v>34145</v>
      </c>
      <c r="I10" s="125">
        <v>5</v>
      </c>
      <c r="J10" s="130" t="s">
        <v>40</v>
      </c>
      <c r="K10" s="130" t="s">
        <v>39</v>
      </c>
      <c r="L10" s="125" t="s">
        <v>166</v>
      </c>
      <c r="M10" s="131">
        <f>IF(F10*I10&gt;0,F10*I10," ")</f>
        <v>1.45</v>
      </c>
      <c r="N10" s="132">
        <f t="shared" ref="N10:N73" si="0">M10</f>
        <v>1.45</v>
      </c>
      <c r="O10" s="131">
        <v>2.5</v>
      </c>
    </row>
    <row r="11" spans="1:15" s="133" customFormat="1" x14ac:dyDescent="0.25">
      <c r="A11" s="123">
        <f>A10+1</f>
        <v>2</v>
      </c>
      <c r="B11" s="124"/>
      <c r="C11" s="125"/>
      <c r="D11" s="126">
        <v>2490</v>
      </c>
      <c r="E11" s="134"/>
      <c r="F11" s="127">
        <v>0.28999999999999998</v>
      </c>
      <c r="G11" s="128" t="s">
        <v>167</v>
      </c>
      <c r="H11" s="129">
        <f>DATE(93,8,19)</f>
        <v>34200</v>
      </c>
      <c r="I11" s="125">
        <v>5</v>
      </c>
      <c r="J11" s="130" t="s">
        <v>38</v>
      </c>
      <c r="K11" s="130" t="s">
        <v>39</v>
      </c>
      <c r="L11" s="125" t="s">
        <v>166</v>
      </c>
      <c r="M11" s="131">
        <f>IF(F11*I11&gt;0,F11*I11," ")</f>
        <v>1.45</v>
      </c>
      <c r="N11" s="132">
        <f t="shared" si="0"/>
        <v>1.45</v>
      </c>
      <c r="O11" s="132">
        <v>2.5</v>
      </c>
    </row>
    <row r="12" spans="1:15" x14ac:dyDescent="0.25">
      <c r="A12" s="25">
        <f t="shared" ref="A12:A75" si="1">A11+1</f>
        <v>3</v>
      </c>
      <c r="B12" s="27"/>
      <c r="C12" s="27"/>
      <c r="D12" s="28">
        <v>2491</v>
      </c>
      <c r="E12" s="34" t="s">
        <v>168</v>
      </c>
      <c r="F12" s="29">
        <v>0.28999999999999998</v>
      </c>
      <c r="G12" s="94" t="s">
        <v>169</v>
      </c>
      <c r="H12" s="30">
        <f>DATE(93,11,5)</f>
        <v>34278</v>
      </c>
      <c r="I12" s="27">
        <v>5</v>
      </c>
      <c r="J12" s="31" t="s">
        <v>38</v>
      </c>
      <c r="K12" s="31" t="s">
        <v>170</v>
      </c>
      <c r="L12" s="27" t="s">
        <v>166</v>
      </c>
      <c r="M12" s="32">
        <f>IF(F12*I12&gt;0,F12*I12," ")</f>
        <v>1.45</v>
      </c>
      <c r="N12" s="86">
        <f t="shared" si="0"/>
        <v>1.45</v>
      </c>
      <c r="O12" s="86">
        <v>8.5</v>
      </c>
    </row>
    <row r="13" spans="1:15" x14ac:dyDescent="0.25">
      <c r="A13" s="25">
        <f t="shared" si="1"/>
        <v>4</v>
      </c>
      <c r="B13" s="27"/>
      <c r="C13" s="27"/>
      <c r="D13" s="99">
        <v>2492</v>
      </c>
      <c r="E13" s="34" t="s">
        <v>171</v>
      </c>
      <c r="F13" s="29">
        <v>0.32</v>
      </c>
      <c r="G13" s="94" t="s">
        <v>172</v>
      </c>
      <c r="H13" s="96">
        <f>DATE(96,3,1)</f>
        <v>35125</v>
      </c>
      <c r="I13" s="27">
        <v>5</v>
      </c>
      <c r="J13" s="31" t="s">
        <v>38</v>
      </c>
      <c r="K13" s="31" t="s">
        <v>173</v>
      </c>
      <c r="L13" s="27" t="s">
        <v>166</v>
      </c>
      <c r="M13" s="32">
        <f>IF(F13*I13&gt;0,F13*I13," ")</f>
        <v>1.6</v>
      </c>
      <c r="N13" s="86">
        <f t="shared" si="0"/>
        <v>1.6</v>
      </c>
      <c r="O13" s="98">
        <v>8</v>
      </c>
    </row>
    <row r="14" spans="1:15" x14ac:dyDescent="0.25">
      <c r="A14" s="25">
        <f t="shared" si="1"/>
        <v>5</v>
      </c>
      <c r="B14" s="27"/>
      <c r="C14" s="27"/>
      <c r="D14" s="28" t="s">
        <v>281</v>
      </c>
      <c r="E14" s="34" t="s">
        <v>86</v>
      </c>
      <c r="F14" s="29">
        <v>0.32</v>
      </c>
      <c r="G14" s="94" t="s">
        <v>174</v>
      </c>
      <c r="H14" s="30">
        <f>DATE(95,7,8)</f>
        <v>34888</v>
      </c>
      <c r="I14" s="27">
        <v>5</v>
      </c>
      <c r="J14" s="31" t="s">
        <v>38</v>
      </c>
      <c r="K14" s="31" t="s">
        <v>175</v>
      </c>
      <c r="L14" s="27" t="s">
        <v>166</v>
      </c>
      <c r="M14" s="32">
        <f t="shared" ref="M14:M62" si="2">IF(F14*I14&gt;0,F14*I14," ")</f>
        <v>1.6</v>
      </c>
      <c r="N14" s="86">
        <f t="shared" si="0"/>
        <v>1.6</v>
      </c>
      <c r="O14" s="86">
        <v>13</v>
      </c>
    </row>
    <row r="15" spans="1:15" x14ac:dyDescent="0.25">
      <c r="A15" s="25">
        <f t="shared" si="1"/>
        <v>6</v>
      </c>
      <c r="B15" s="27"/>
      <c r="C15" s="27"/>
      <c r="D15" s="28">
        <v>2518</v>
      </c>
      <c r="E15" s="34"/>
      <c r="F15" s="29">
        <v>0.28999999999999998</v>
      </c>
      <c r="G15" s="40" t="s">
        <v>176</v>
      </c>
      <c r="H15" s="30">
        <f>DATE(91,1,22)</f>
        <v>33260</v>
      </c>
      <c r="I15" s="27">
        <v>3</v>
      </c>
      <c r="J15" s="31" t="s">
        <v>38</v>
      </c>
      <c r="K15" s="31">
        <v>1222</v>
      </c>
      <c r="L15" s="27" t="s">
        <v>36</v>
      </c>
      <c r="M15" s="32">
        <f t="shared" si="2"/>
        <v>0.86999999999999988</v>
      </c>
      <c r="N15" s="86">
        <f t="shared" si="0"/>
        <v>0.86999999999999988</v>
      </c>
      <c r="O15" s="86">
        <v>3.25</v>
      </c>
    </row>
    <row r="16" spans="1:15" x14ac:dyDescent="0.25">
      <c r="A16" s="25">
        <f t="shared" si="1"/>
        <v>7</v>
      </c>
      <c r="B16" s="27"/>
      <c r="C16" s="27"/>
      <c r="D16" s="28">
        <v>2523</v>
      </c>
      <c r="E16" s="34"/>
      <c r="F16" s="29">
        <v>0.28999999999999998</v>
      </c>
      <c r="G16" s="94" t="s">
        <v>177</v>
      </c>
      <c r="H16" s="30">
        <f>DATE(91,3,29)</f>
        <v>33326</v>
      </c>
      <c r="I16" s="27">
        <v>3</v>
      </c>
      <c r="J16" s="31" t="s">
        <v>38</v>
      </c>
      <c r="K16" s="31">
        <v>7</v>
      </c>
      <c r="L16" s="27" t="s">
        <v>36</v>
      </c>
      <c r="M16" s="32">
        <f t="shared" si="2"/>
        <v>0.86999999999999988</v>
      </c>
      <c r="N16" s="86">
        <f t="shared" si="0"/>
        <v>0.86999999999999988</v>
      </c>
      <c r="O16" s="86">
        <v>4</v>
      </c>
    </row>
    <row r="17" spans="1:15" x14ac:dyDescent="0.25">
      <c r="A17" s="25">
        <f t="shared" si="1"/>
        <v>8</v>
      </c>
      <c r="B17" s="27"/>
      <c r="C17" s="27"/>
      <c r="D17" s="28" t="s">
        <v>178</v>
      </c>
      <c r="E17" s="34"/>
      <c r="F17" s="29">
        <v>0.28999999999999998</v>
      </c>
      <c r="G17" s="94" t="s">
        <v>177</v>
      </c>
      <c r="H17" s="30">
        <f>DATE(91,7,4)</f>
        <v>33423</v>
      </c>
      <c r="I17" s="27">
        <v>3</v>
      </c>
      <c r="J17" s="31" t="s">
        <v>38</v>
      </c>
      <c r="K17" s="31" t="s">
        <v>179</v>
      </c>
      <c r="L17" s="27" t="s">
        <v>36</v>
      </c>
      <c r="M17" s="32">
        <f t="shared" si="2"/>
        <v>0.86999999999999988</v>
      </c>
      <c r="N17" s="86">
        <f t="shared" si="0"/>
        <v>0.86999999999999988</v>
      </c>
      <c r="O17" s="86">
        <v>4.25</v>
      </c>
    </row>
    <row r="18" spans="1:15" x14ac:dyDescent="0.25">
      <c r="A18" s="25">
        <f t="shared" si="1"/>
        <v>9</v>
      </c>
      <c r="B18" s="27"/>
      <c r="C18" s="27"/>
      <c r="D18" s="28">
        <v>2525</v>
      </c>
      <c r="E18" s="34"/>
      <c r="F18" s="29">
        <v>0.28999999999999998</v>
      </c>
      <c r="G18" s="94" t="s">
        <v>180</v>
      </c>
      <c r="H18" s="30">
        <f>DATE(91,8,16)</f>
        <v>33466</v>
      </c>
      <c r="I18" s="27">
        <v>3</v>
      </c>
      <c r="J18" s="31" t="s">
        <v>38</v>
      </c>
      <c r="K18" s="31" t="s">
        <v>181</v>
      </c>
      <c r="L18" s="27" t="s">
        <v>182</v>
      </c>
      <c r="M18" s="32">
        <f t="shared" si="2"/>
        <v>0.86999999999999988</v>
      </c>
      <c r="N18" s="86">
        <f t="shared" si="0"/>
        <v>0.86999999999999988</v>
      </c>
      <c r="O18" s="86">
        <v>4</v>
      </c>
    </row>
    <row r="19" spans="1:15" x14ac:dyDescent="0.25">
      <c r="A19" s="25">
        <f t="shared" si="1"/>
        <v>10</v>
      </c>
      <c r="B19" s="27"/>
      <c r="C19" s="27"/>
      <c r="D19" s="28">
        <v>2526</v>
      </c>
      <c r="E19" s="34"/>
      <c r="F19" s="29">
        <v>0.28999999999999998</v>
      </c>
      <c r="G19" s="94" t="s">
        <v>180</v>
      </c>
      <c r="H19" s="30">
        <f>DATE(92,3,3)</f>
        <v>33666</v>
      </c>
      <c r="I19" s="27">
        <v>3</v>
      </c>
      <c r="J19" s="31" t="s">
        <v>38</v>
      </c>
      <c r="K19" s="31" t="s">
        <v>183</v>
      </c>
      <c r="L19" s="27" t="s">
        <v>184</v>
      </c>
      <c r="M19" s="32">
        <f t="shared" si="2"/>
        <v>0.86999999999999988</v>
      </c>
      <c r="N19" s="86">
        <f t="shared" si="0"/>
        <v>0.86999999999999988</v>
      </c>
      <c r="O19" s="86">
        <v>4.25</v>
      </c>
    </row>
    <row r="20" spans="1:15" x14ac:dyDescent="0.25">
      <c r="A20" s="25">
        <f t="shared" si="1"/>
        <v>11</v>
      </c>
      <c r="B20" s="27"/>
      <c r="C20" s="27"/>
      <c r="D20" s="28">
        <v>2529</v>
      </c>
      <c r="E20" s="34"/>
      <c r="F20" s="29">
        <v>0.28999999999999998</v>
      </c>
      <c r="G20" s="94" t="s">
        <v>185</v>
      </c>
      <c r="H20" s="30">
        <f>DATE(91,8,8)</f>
        <v>33458</v>
      </c>
      <c r="I20" s="27">
        <v>3</v>
      </c>
      <c r="J20" s="31" t="s">
        <v>38</v>
      </c>
      <c r="K20" s="31" t="s">
        <v>186</v>
      </c>
      <c r="L20" s="27" t="s">
        <v>36</v>
      </c>
      <c r="M20" s="32">
        <f t="shared" si="2"/>
        <v>0.86999999999999988</v>
      </c>
      <c r="N20" s="86">
        <f t="shared" si="0"/>
        <v>0.86999999999999988</v>
      </c>
      <c r="O20" s="86">
        <v>3</v>
      </c>
    </row>
    <row r="21" spans="1:15" x14ac:dyDescent="0.25">
      <c r="A21" s="25">
        <f t="shared" si="1"/>
        <v>12</v>
      </c>
      <c r="B21" s="27"/>
      <c r="C21" s="27"/>
      <c r="D21" s="28">
        <v>2529</v>
      </c>
      <c r="E21" s="34" t="s">
        <v>88</v>
      </c>
      <c r="F21" s="29">
        <v>0.28999999999999998</v>
      </c>
      <c r="G21" s="94" t="s">
        <v>185</v>
      </c>
      <c r="H21" s="87" t="s">
        <v>187</v>
      </c>
      <c r="I21" s="27">
        <v>3</v>
      </c>
      <c r="J21" s="31" t="s">
        <v>38</v>
      </c>
      <c r="K21" s="31" t="s">
        <v>188</v>
      </c>
      <c r="L21" s="27" t="s">
        <v>189</v>
      </c>
      <c r="M21" s="32">
        <f t="shared" si="2"/>
        <v>0.86999999999999988</v>
      </c>
      <c r="N21" s="86">
        <f t="shared" si="0"/>
        <v>0.86999999999999988</v>
      </c>
      <c r="O21" s="86">
        <v>3.5</v>
      </c>
    </row>
    <row r="22" spans="1:15" x14ac:dyDescent="0.25">
      <c r="A22" s="25">
        <f t="shared" si="1"/>
        <v>13</v>
      </c>
      <c r="B22" s="27"/>
      <c r="C22" s="27"/>
      <c r="D22" s="28" t="s">
        <v>190</v>
      </c>
      <c r="E22" s="34"/>
      <c r="F22" s="29">
        <v>0.28999999999999998</v>
      </c>
      <c r="G22" s="94" t="s">
        <v>185</v>
      </c>
      <c r="H22" s="30">
        <f>DATE(94,6,25)</f>
        <v>34510</v>
      </c>
      <c r="I22" s="27">
        <v>5</v>
      </c>
      <c r="J22" s="31" t="s">
        <v>38</v>
      </c>
      <c r="K22" s="31" t="s">
        <v>162</v>
      </c>
      <c r="L22" s="27" t="s">
        <v>191</v>
      </c>
      <c r="M22" s="32">
        <f t="shared" si="2"/>
        <v>1.45</v>
      </c>
      <c r="N22" s="86">
        <f t="shared" si="0"/>
        <v>1.45</v>
      </c>
      <c r="O22" s="86">
        <v>4</v>
      </c>
    </row>
    <row r="23" spans="1:15" s="133" customFormat="1" x14ac:dyDescent="0.25">
      <c r="A23" s="123">
        <f t="shared" si="1"/>
        <v>14</v>
      </c>
      <c r="B23" s="125"/>
      <c r="C23" s="125"/>
      <c r="D23" s="126">
        <v>2595</v>
      </c>
      <c r="E23" s="134"/>
      <c r="F23" s="127">
        <v>0.28999999999999998</v>
      </c>
      <c r="G23" s="135" t="s">
        <v>192</v>
      </c>
      <c r="H23" s="129">
        <f>DATE(92,9,25)</f>
        <v>33872</v>
      </c>
      <c r="I23" s="125">
        <v>5</v>
      </c>
      <c r="J23" s="130" t="s">
        <v>38</v>
      </c>
      <c r="K23" s="130" t="s">
        <v>39</v>
      </c>
      <c r="L23" s="125" t="s">
        <v>166</v>
      </c>
      <c r="M23" s="131">
        <f t="shared" si="2"/>
        <v>1.45</v>
      </c>
      <c r="N23" s="132">
        <f t="shared" si="0"/>
        <v>1.45</v>
      </c>
      <c r="O23" s="132">
        <v>2.5</v>
      </c>
    </row>
    <row r="24" spans="1:15" s="133" customFormat="1" x14ac:dyDescent="0.25">
      <c r="A24" s="123">
        <f t="shared" si="1"/>
        <v>15</v>
      </c>
      <c r="B24" s="125"/>
      <c r="C24" s="125"/>
      <c r="D24" s="126">
        <v>2596</v>
      </c>
      <c r="E24" s="134"/>
      <c r="F24" s="127">
        <v>0.28999999999999998</v>
      </c>
      <c r="G24" s="135" t="s">
        <v>193</v>
      </c>
      <c r="H24" s="129">
        <f>DATE(92,9,25)</f>
        <v>33872</v>
      </c>
      <c r="I24" s="125">
        <v>5</v>
      </c>
      <c r="J24" s="130" t="s">
        <v>38</v>
      </c>
      <c r="K24" s="130" t="s">
        <v>39</v>
      </c>
      <c r="L24" s="125" t="s">
        <v>166</v>
      </c>
      <c r="M24" s="131">
        <f t="shared" si="2"/>
        <v>1.45</v>
      </c>
      <c r="N24" s="132">
        <f t="shared" si="0"/>
        <v>1.45</v>
      </c>
      <c r="O24" s="132">
        <v>2.5</v>
      </c>
    </row>
    <row r="25" spans="1:15" s="133" customFormat="1" x14ac:dyDescent="0.25">
      <c r="A25" s="123">
        <f t="shared" si="1"/>
        <v>16</v>
      </c>
      <c r="B25" s="125"/>
      <c r="C25" s="125"/>
      <c r="D25" s="126">
        <v>2597</v>
      </c>
      <c r="E25" s="134"/>
      <c r="F25" s="127">
        <v>0.28999999999999998</v>
      </c>
      <c r="G25" s="135" t="s">
        <v>194</v>
      </c>
      <c r="H25" s="129">
        <f>DATE(92,9,25)</f>
        <v>33872</v>
      </c>
      <c r="I25" s="125">
        <v>5</v>
      </c>
      <c r="J25" s="130" t="s">
        <v>38</v>
      </c>
      <c r="K25" s="130" t="s">
        <v>39</v>
      </c>
      <c r="L25" s="125" t="s">
        <v>166</v>
      </c>
      <c r="M25" s="131">
        <f t="shared" si="2"/>
        <v>1.45</v>
      </c>
      <c r="N25" s="132">
        <f t="shared" si="0"/>
        <v>1.45</v>
      </c>
      <c r="O25" s="132">
        <v>2.5</v>
      </c>
    </row>
    <row r="26" spans="1:15" x14ac:dyDescent="0.25">
      <c r="A26" s="25">
        <f t="shared" si="1"/>
        <v>17</v>
      </c>
      <c r="B26" s="27"/>
      <c r="C26" s="27"/>
      <c r="D26" s="28">
        <v>2598</v>
      </c>
      <c r="E26" s="34" t="s">
        <v>86</v>
      </c>
      <c r="F26" s="29">
        <v>0.28999999999999998</v>
      </c>
      <c r="G26" s="94" t="s">
        <v>195</v>
      </c>
      <c r="H26" s="30">
        <f>DATE(94,2,4)</f>
        <v>34369</v>
      </c>
      <c r="I26" s="27">
        <v>5</v>
      </c>
      <c r="J26" s="31" t="s">
        <v>38</v>
      </c>
      <c r="K26" s="31">
        <v>111</v>
      </c>
      <c r="L26" s="27" t="s">
        <v>166</v>
      </c>
      <c r="M26" s="32">
        <f t="shared" si="2"/>
        <v>1.45</v>
      </c>
      <c r="N26" s="86">
        <f t="shared" si="0"/>
        <v>1.45</v>
      </c>
      <c r="O26" s="86">
        <v>8</v>
      </c>
    </row>
    <row r="27" spans="1:15" x14ac:dyDescent="0.25">
      <c r="A27" s="25">
        <f t="shared" si="1"/>
        <v>18</v>
      </c>
      <c r="B27" s="27"/>
      <c r="C27" s="27"/>
      <c r="D27" s="28">
        <v>2599</v>
      </c>
      <c r="E27" s="34" t="s">
        <v>86</v>
      </c>
      <c r="F27" s="29">
        <v>0.28999999999999998</v>
      </c>
      <c r="G27" s="94" t="s">
        <v>123</v>
      </c>
      <c r="H27" s="30">
        <f>DATE(94,6,24)</f>
        <v>34509</v>
      </c>
      <c r="I27" s="27">
        <v>5</v>
      </c>
      <c r="J27" s="31" t="s">
        <v>38</v>
      </c>
      <c r="K27" s="31" t="s">
        <v>196</v>
      </c>
      <c r="L27" s="27" t="s">
        <v>166</v>
      </c>
      <c r="M27" s="32">
        <f t="shared" si="2"/>
        <v>1.45</v>
      </c>
      <c r="N27" s="86">
        <f t="shared" si="0"/>
        <v>1.45</v>
      </c>
      <c r="O27" s="86">
        <v>8</v>
      </c>
    </row>
    <row r="28" spans="1:15" x14ac:dyDescent="0.25">
      <c r="A28" s="25">
        <f t="shared" si="1"/>
        <v>19</v>
      </c>
      <c r="B28" s="27"/>
      <c r="C28" s="27"/>
      <c r="D28" s="28">
        <v>2602</v>
      </c>
      <c r="E28" s="34"/>
      <c r="F28" s="29">
        <v>0.1</v>
      </c>
      <c r="G28" s="94" t="s">
        <v>197</v>
      </c>
      <c r="H28" s="30">
        <f>DATE(91,12,13)</f>
        <v>33585</v>
      </c>
      <c r="I28" s="27">
        <v>3</v>
      </c>
      <c r="J28" s="31" t="s">
        <v>38</v>
      </c>
      <c r="K28" s="31" t="s">
        <v>198</v>
      </c>
      <c r="L28" s="27" t="s">
        <v>149</v>
      </c>
      <c r="M28" s="32">
        <f t="shared" si="2"/>
        <v>0.30000000000000004</v>
      </c>
      <c r="N28" s="86">
        <f t="shared" si="0"/>
        <v>0.30000000000000004</v>
      </c>
      <c r="O28" s="86">
        <v>1.9</v>
      </c>
    </row>
    <row r="29" spans="1:15" x14ac:dyDescent="0.25">
      <c r="A29" s="25">
        <f t="shared" si="1"/>
        <v>20</v>
      </c>
      <c r="B29" s="27"/>
      <c r="C29" s="27"/>
      <c r="D29" s="28">
        <v>2603</v>
      </c>
      <c r="E29" s="34"/>
      <c r="F29" s="29">
        <v>0.1</v>
      </c>
      <c r="G29" s="94" t="s">
        <v>197</v>
      </c>
      <c r="H29" s="30">
        <f>DATE(93,5,29)</f>
        <v>34118</v>
      </c>
      <c r="I29" s="27">
        <v>3</v>
      </c>
      <c r="J29" s="31" t="s">
        <v>38</v>
      </c>
      <c r="K29" s="31">
        <v>11111</v>
      </c>
      <c r="L29" s="27" t="s">
        <v>149</v>
      </c>
      <c r="M29" s="32">
        <f t="shared" si="2"/>
        <v>0.30000000000000004</v>
      </c>
      <c r="N29" s="86">
        <f t="shared" si="0"/>
        <v>0.30000000000000004</v>
      </c>
      <c r="O29" s="86">
        <v>2.25</v>
      </c>
    </row>
    <row r="30" spans="1:15" x14ac:dyDescent="0.25">
      <c r="A30" s="25">
        <f t="shared" si="1"/>
        <v>21</v>
      </c>
      <c r="B30" s="27"/>
      <c r="C30" s="27"/>
      <c r="D30" s="28">
        <v>2604</v>
      </c>
      <c r="E30" s="34"/>
      <c r="F30" s="29">
        <v>0.1</v>
      </c>
      <c r="G30" s="94" t="s">
        <v>197</v>
      </c>
      <c r="H30" s="30">
        <f>DATE(93,5,29)</f>
        <v>34118</v>
      </c>
      <c r="I30" s="27">
        <v>3</v>
      </c>
      <c r="J30" s="31" t="s">
        <v>38</v>
      </c>
      <c r="K30" s="31" t="s">
        <v>199</v>
      </c>
      <c r="L30" s="27" t="s">
        <v>149</v>
      </c>
      <c r="M30" s="32">
        <f t="shared" si="2"/>
        <v>0.30000000000000004</v>
      </c>
      <c r="N30" s="86">
        <f t="shared" si="0"/>
        <v>0.30000000000000004</v>
      </c>
      <c r="O30" s="86">
        <v>2.5</v>
      </c>
    </row>
    <row r="31" spans="1:15" x14ac:dyDescent="0.25">
      <c r="A31" s="25">
        <f t="shared" si="1"/>
        <v>22</v>
      </c>
      <c r="B31" s="27"/>
      <c r="C31" s="27"/>
      <c r="D31" s="99">
        <v>2604</v>
      </c>
      <c r="E31" s="34"/>
      <c r="F31" s="29">
        <v>0.1</v>
      </c>
      <c r="G31" s="94" t="s">
        <v>197</v>
      </c>
      <c r="H31" s="96">
        <f>DATE(95,5,1)</f>
        <v>34820</v>
      </c>
      <c r="I31" s="27">
        <v>3</v>
      </c>
      <c r="J31" s="31" t="s">
        <v>38</v>
      </c>
      <c r="K31" s="31" t="s">
        <v>200</v>
      </c>
      <c r="L31" s="40" t="s">
        <v>201</v>
      </c>
      <c r="M31" s="32">
        <f t="shared" si="2"/>
        <v>0.30000000000000004</v>
      </c>
      <c r="N31" s="86">
        <f t="shared" si="0"/>
        <v>0.30000000000000004</v>
      </c>
      <c r="O31" s="98">
        <v>2.25</v>
      </c>
    </row>
    <row r="32" spans="1:15" x14ac:dyDescent="0.25">
      <c r="A32" s="25">
        <f t="shared" si="1"/>
        <v>23</v>
      </c>
      <c r="B32" s="27"/>
      <c r="C32" s="27"/>
      <c r="D32" s="28">
        <v>2605</v>
      </c>
      <c r="E32" s="34"/>
      <c r="F32" s="29">
        <v>0.23</v>
      </c>
      <c r="G32" s="94" t="s">
        <v>202</v>
      </c>
      <c r="H32" s="30">
        <f>DATE(91,9,27)</f>
        <v>33508</v>
      </c>
      <c r="I32" s="27">
        <v>3</v>
      </c>
      <c r="J32" s="31" t="s">
        <v>38</v>
      </c>
      <c r="K32" s="31" t="s">
        <v>203</v>
      </c>
      <c r="L32" s="27" t="s">
        <v>149</v>
      </c>
      <c r="M32" s="32">
        <f t="shared" si="2"/>
        <v>0.69000000000000006</v>
      </c>
      <c r="N32" s="86">
        <f t="shared" si="0"/>
        <v>0.69000000000000006</v>
      </c>
      <c r="O32" s="86">
        <v>3.25</v>
      </c>
    </row>
    <row r="33" spans="1:15" x14ac:dyDescent="0.25">
      <c r="A33" s="25">
        <f t="shared" si="1"/>
        <v>24</v>
      </c>
      <c r="B33" s="27"/>
      <c r="C33" s="27"/>
      <c r="D33" s="28">
        <v>2606</v>
      </c>
      <c r="E33" s="34"/>
      <c r="F33" s="29">
        <v>0.23</v>
      </c>
      <c r="G33" s="40" t="s">
        <v>204</v>
      </c>
      <c r="H33" s="30">
        <f>DATE(92,7,21)</f>
        <v>33806</v>
      </c>
      <c r="I33" s="27">
        <v>3</v>
      </c>
      <c r="J33" s="31" t="s">
        <v>38</v>
      </c>
      <c r="K33" s="31" t="s">
        <v>205</v>
      </c>
      <c r="L33" s="27" t="s">
        <v>149</v>
      </c>
      <c r="M33" s="32">
        <f t="shared" si="2"/>
        <v>0.69000000000000006</v>
      </c>
      <c r="N33" s="86">
        <f t="shared" si="0"/>
        <v>0.69000000000000006</v>
      </c>
      <c r="O33" s="86">
        <v>3.75</v>
      </c>
    </row>
    <row r="34" spans="1:15" x14ac:dyDescent="0.25">
      <c r="A34" s="25">
        <f t="shared" si="1"/>
        <v>25</v>
      </c>
      <c r="B34" s="27"/>
      <c r="C34" s="27"/>
      <c r="D34" s="28">
        <v>2607</v>
      </c>
      <c r="E34" s="34"/>
      <c r="F34" s="29">
        <v>0.23</v>
      </c>
      <c r="G34" s="40" t="s">
        <v>204</v>
      </c>
      <c r="H34" s="30">
        <f>DATE(92,10,9)</f>
        <v>33886</v>
      </c>
      <c r="I34" s="27">
        <v>3</v>
      </c>
      <c r="J34" s="31" t="s">
        <v>38</v>
      </c>
      <c r="K34" s="31">
        <v>1111</v>
      </c>
      <c r="L34" s="27" t="s">
        <v>149</v>
      </c>
      <c r="M34" s="32">
        <f t="shared" si="2"/>
        <v>0.69000000000000006</v>
      </c>
      <c r="N34" s="86">
        <f t="shared" si="0"/>
        <v>0.69000000000000006</v>
      </c>
      <c r="O34" s="86">
        <v>4</v>
      </c>
    </row>
    <row r="35" spans="1:15" x14ac:dyDescent="0.25">
      <c r="A35" s="25">
        <f t="shared" si="1"/>
        <v>26</v>
      </c>
      <c r="B35" s="27"/>
      <c r="C35" s="27"/>
      <c r="D35" s="28">
        <v>2608</v>
      </c>
      <c r="E35" s="34"/>
      <c r="F35" s="29">
        <v>0.23</v>
      </c>
      <c r="G35" s="40" t="s">
        <v>204</v>
      </c>
      <c r="H35" s="30">
        <f>DATE(93,5,14)</f>
        <v>34103</v>
      </c>
      <c r="I35" s="27">
        <v>3</v>
      </c>
      <c r="J35" s="31" t="s">
        <v>38</v>
      </c>
      <c r="K35" s="103" t="s">
        <v>173</v>
      </c>
      <c r="L35" s="27" t="s">
        <v>149</v>
      </c>
      <c r="M35" s="32">
        <f t="shared" si="2"/>
        <v>0.69000000000000006</v>
      </c>
      <c r="N35" s="86">
        <f t="shared" si="0"/>
        <v>0.69000000000000006</v>
      </c>
      <c r="O35" s="86">
        <v>4.25</v>
      </c>
    </row>
    <row r="36" spans="1:15" x14ac:dyDescent="0.25">
      <c r="A36" s="25">
        <f t="shared" si="1"/>
        <v>27</v>
      </c>
      <c r="B36" s="27"/>
      <c r="C36" s="27"/>
      <c r="D36" s="28">
        <v>2609</v>
      </c>
      <c r="E36" s="34"/>
      <c r="F36" s="29">
        <v>0.28999999999999998</v>
      </c>
      <c r="G36" s="94" t="s">
        <v>206</v>
      </c>
      <c r="H36" s="30">
        <f>DATE(92,4,23)</f>
        <v>33717</v>
      </c>
      <c r="I36" s="27">
        <v>3</v>
      </c>
      <c r="J36" s="31" t="s">
        <v>38</v>
      </c>
      <c r="K36" s="31">
        <v>1</v>
      </c>
      <c r="L36" s="27" t="s">
        <v>36</v>
      </c>
      <c r="M36" s="32">
        <f t="shared" si="2"/>
        <v>0.86999999999999988</v>
      </c>
      <c r="N36" s="86">
        <f t="shared" si="0"/>
        <v>0.86999999999999988</v>
      </c>
      <c r="O36" s="86">
        <v>3.5</v>
      </c>
    </row>
    <row r="37" spans="1:15" x14ac:dyDescent="0.25">
      <c r="A37" s="25">
        <f t="shared" si="1"/>
        <v>28</v>
      </c>
      <c r="B37" s="27"/>
      <c r="C37" s="27"/>
      <c r="D37" s="28" t="s">
        <v>207</v>
      </c>
      <c r="E37" s="34" t="s">
        <v>86</v>
      </c>
      <c r="F37" s="29">
        <v>0.28999999999999998</v>
      </c>
      <c r="G37" s="94" t="s">
        <v>208</v>
      </c>
      <c r="H37" s="30">
        <f>DATE(93,10,28)</f>
        <v>34270</v>
      </c>
      <c r="I37" s="27">
        <v>8</v>
      </c>
      <c r="J37" s="31" t="s">
        <v>38</v>
      </c>
      <c r="K37" s="31" t="s">
        <v>209</v>
      </c>
      <c r="L37" s="27" t="s">
        <v>166</v>
      </c>
      <c r="M37" s="32">
        <f t="shared" si="2"/>
        <v>2.3199999999999998</v>
      </c>
      <c r="N37" s="86">
        <f t="shared" si="0"/>
        <v>2.3199999999999998</v>
      </c>
      <c r="O37" s="86">
        <v>12</v>
      </c>
    </row>
    <row r="38" spans="1:15" x14ac:dyDescent="0.25">
      <c r="A38" s="25">
        <f t="shared" si="1"/>
        <v>29</v>
      </c>
      <c r="B38" s="27"/>
      <c r="C38" s="27"/>
      <c r="D38" s="28">
        <v>2813</v>
      </c>
      <c r="E38" s="34" t="s">
        <v>86</v>
      </c>
      <c r="F38" s="29">
        <v>0.28999999999999998</v>
      </c>
      <c r="G38" s="94" t="s">
        <v>210</v>
      </c>
      <c r="H38" s="30">
        <f>DATE(94,1,27)</f>
        <v>34361</v>
      </c>
      <c r="I38" s="27">
        <v>5</v>
      </c>
      <c r="J38" s="31" t="s">
        <v>38</v>
      </c>
      <c r="K38" s="31" t="s">
        <v>170</v>
      </c>
      <c r="L38" s="27" t="s">
        <v>166</v>
      </c>
      <c r="M38" s="32">
        <f t="shared" si="2"/>
        <v>1.45</v>
      </c>
      <c r="N38" s="86">
        <f t="shared" si="0"/>
        <v>1.45</v>
      </c>
      <c r="O38" s="86">
        <v>6.75</v>
      </c>
    </row>
    <row r="39" spans="1:15" x14ac:dyDescent="0.25">
      <c r="A39" s="25">
        <f t="shared" si="1"/>
        <v>30</v>
      </c>
      <c r="B39" s="27"/>
      <c r="C39" s="27"/>
      <c r="D39" s="28">
        <v>2873</v>
      </c>
      <c r="E39" s="34" t="s">
        <v>86</v>
      </c>
      <c r="F39" s="29">
        <v>0.28999999999999998</v>
      </c>
      <c r="G39" s="94" t="s">
        <v>208</v>
      </c>
      <c r="H39" s="30">
        <f>DATE(94,10,20)</f>
        <v>34627</v>
      </c>
      <c r="I39" s="27">
        <v>5</v>
      </c>
      <c r="J39" s="31" t="s">
        <v>38</v>
      </c>
      <c r="K39" s="31" t="s">
        <v>211</v>
      </c>
      <c r="L39" s="27" t="s">
        <v>166</v>
      </c>
      <c r="M39" s="32">
        <f t="shared" si="2"/>
        <v>1.45</v>
      </c>
      <c r="N39" s="86">
        <f t="shared" si="0"/>
        <v>1.45</v>
      </c>
      <c r="O39" s="86">
        <v>7.25</v>
      </c>
    </row>
    <row r="40" spans="1:15" x14ac:dyDescent="0.25">
      <c r="A40" s="25">
        <f t="shared" si="1"/>
        <v>31</v>
      </c>
      <c r="B40" s="27"/>
      <c r="C40" s="27"/>
      <c r="D40" s="28">
        <v>2886</v>
      </c>
      <c r="E40" s="34" t="s">
        <v>86</v>
      </c>
      <c r="F40" s="29">
        <v>0.32</v>
      </c>
      <c r="G40" s="94" t="s">
        <v>212</v>
      </c>
      <c r="H40" s="30">
        <f>DATE(94,12,13)</f>
        <v>34681</v>
      </c>
      <c r="I40" s="27">
        <v>5</v>
      </c>
      <c r="J40" s="31" t="s">
        <v>38</v>
      </c>
      <c r="K40" s="31" t="s">
        <v>175</v>
      </c>
      <c r="L40" s="27" t="s">
        <v>166</v>
      </c>
      <c r="M40" s="32">
        <f t="shared" si="2"/>
        <v>1.6</v>
      </c>
      <c r="N40" s="86">
        <f t="shared" si="0"/>
        <v>1.6</v>
      </c>
      <c r="O40" s="86">
        <v>12</v>
      </c>
    </row>
    <row r="41" spans="1:15" x14ac:dyDescent="0.25">
      <c r="A41" s="25">
        <f t="shared" si="1"/>
        <v>32</v>
      </c>
      <c r="B41" s="27"/>
      <c r="C41" s="27"/>
      <c r="D41" s="28">
        <v>2888</v>
      </c>
      <c r="E41" s="34"/>
      <c r="F41" s="29">
        <v>0.25</v>
      </c>
      <c r="G41" s="94" t="s">
        <v>212</v>
      </c>
      <c r="H41" s="30">
        <f t="shared" ref="H41:H46" si="3">DATE(94,12,13)</f>
        <v>34681</v>
      </c>
      <c r="I41" s="27">
        <v>5</v>
      </c>
      <c r="J41" s="31" t="s">
        <v>38</v>
      </c>
      <c r="K41" s="31" t="s">
        <v>199</v>
      </c>
      <c r="L41" s="27" t="s">
        <v>36</v>
      </c>
      <c r="M41" s="32">
        <f t="shared" si="2"/>
        <v>1.25</v>
      </c>
      <c r="N41" s="86">
        <f t="shared" si="0"/>
        <v>1.25</v>
      </c>
      <c r="O41" s="86">
        <v>4</v>
      </c>
    </row>
    <row r="42" spans="1:15" x14ac:dyDescent="0.25">
      <c r="A42" s="25">
        <f t="shared" si="1"/>
        <v>33</v>
      </c>
      <c r="B42" s="27"/>
      <c r="C42" s="27"/>
      <c r="D42" s="28">
        <v>2889</v>
      </c>
      <c r="E42" s="34"/>
      <c r="F42" s="29">
        <v>0.32</v>
      </c>
      <c r="G42" s="94" t="s">
        <v>212</v>
      </c>
      <c r="H42" s="30">
        <f t="shared" si="3"/>
        <v>34681</v>
      </c>
      <c r="I42" s="27">
        <v>5</v>
      </c>
      <c r="J42" s="31" t="s">
        <v>38</v>
      </c>
      <c r="K42" s="31">
        <v>2222</v>
      </c>
      <c r="L42" s="27" t="s">
        <v>36</v>
      </c>
      <c r="M42" s="32">
        <f t="shared" si="2"/>
        <v>1.6</v>
      </c>
      <c r="N42" s="86">
        <f t="shared" si="0"/>
        <v>1.6</v>
      </c>
      <c r="O42" s="86">
        <v>8</v>
      </c>
    </row>
    <row r="43" spans="1:15" x14ac:dyDescent="0.25">
      <c r="A43" s="25">
        <f t="shared" si="1"/>
        <v>34</v>
      </c>
      <c r="B43" s="27"/>
      <c r="C43" s="27"/>
      <c r="D43" s="28">
        <v>2890</v>
      </c>
      <c r="E43" s="34"/>
      <c r="F43" s="29">
        <v>0.32</v>
      </c>
      <c r="G43" s="94" t="s">
        <v>212</v>
      </c>
      <c r="H43" s="30">
        <f t="shared" si="3"/>
        <v>34681</v>
      </c>
      <c r="I43" s="27">
        <v>5</v>
      </c>
      <c r="J43" s="31" t="s">
        <v>38</v>
      </c>
      <c r="K43" s="31" t="s">
        <v>213</v>
      </c>
      <c r="L43" s="27" t="s">
        <v>36</v>
      </c>
      <c r="M43" s="32">
        <f t="shared" si="2"/>
        <v>1.6</v>
      </c>
      <c r="N43" s="86">
        <f t="shared" si="0"/>
        <v>1.6</v>
      </c>
      <c r="O43" s="86">
        <v>3.5</v>
      </c>
    </row>
    <row r="44" spans="1:15" x14ac:dyDescent="0.25">
      <c r="A44" s="25">
        <f t="shared" si="1"/>
        <v>35</v>
      </c>
      <c r="B44" s="27"/>
      <c r="C44" s="27"/>
      <c r="D44" s="28">
        <v>2891</v>
      </c>
      <c r="E44" s="34"/>
      <c r="F44" s="29">
        <v>0.32</v>
      </c>
      <c r="G44" s="94" t="s">
        <v>212</v>
      </c>
      <c r="H44" s="30">
        <f t="shared" si="3"/>
        <v>34681</v>
      </c>
      <c r="I44" s="27">
        <v>5</v>
      </c>
      <c r="J44" s="31" t="s">
        <v>38</v>
      </c>
      <c r="K44" s="31" t="s">
        <v>181</v>
      </c>
      <c r="L44" s="27" t="s">
        <v>36</v>
      </c>
      <c r="M44" s="32">
        <f t="shared" si="2"/>
        <v>1.6</v>
      </c>
      <c r="N44" s="86">
        <f t="shared" si="0"/>
        <v>1.6</v>
      </c>
      <c r="O44" s="86">
        <v>4.75</v>
      </c>
    </row>
    <row r="45" spans="1:15" x14ac:dyDescent="0.25">
      <c r="A45" s="25">
        <f t="shared" si="1"/>
        <v>36</v>
      </c>
      <c r="B45" s="27"/>
      <c r="C45" s="27"/>
      <c r="D45" s="28">
        <v>2892</v>
      </c>
      <c r="E45" s="34"/>
      <c r="F45" s="29">
        <v>0.32</v>
      </c>
      <c r="G45" s="94" t="s">
        <v>212</v>
      </c>
      <c r="H45" s="30">
        <f t="shared" si="3"/>
        <v>34681</v>
      </c>
      <c r="I45" s="27">
        <v>3</v>
      </c>
      <c r="J45" s="31" t="s">
        <v>38</v>
      </c>
      <c r="K45" s="31" t="s">
        <v>181</v>
      </c>
      <c r="L45" s="27" t="s">
        <v>214</v>
      </c>
      <c r="M45" s="32">
        <f t="shared" si="2"/>
        <v>0.96</v>
      </c>
      <c r="N45" s="86">
        <f t="shared" si="0"/>
        <v>0.96</v>
      </c>
      <c r="O45" s="86">
        <v>4.75</v>
      </c>
    </row>
    <row r="46" spans="1:15" x14ac:dyDescent="0.25">
      <c r="A46" s="25">
        <f t="shared" si="1"/>
        <v>37</v>
      </c>
      <c r="B46" s="27"/>
      <c r="C46" s="27"/>
      <c r="D46" s="28">
        <v>2893</v>
      </c>
      <c r="E46" s="34"/>
      <c r="F46" s="29">
        <v>0.05</v>
      </c>
      <c r="G46" s="94" t="s">
        <v>212</v>
      </c>
      <c r="H46" s="30">
        <f t="shared" si="3"/>
        <v>34681</v>
      </c>
      <c r="I46" s="27">
        <v>5</v>
      </c>
      <c r="J46" s="31" t="s">
        <v>38</v>
      </c>
      <c r="K46" s="31" t="s">
        <v>215</v>
      </c>
      <c r="L46" s="27" t="s">
        <v>36</v>
      </c>
      <c r="M46" s="32">
        <f t="shared" si="2"/>
        <v>0.25</v>
      </c>
      <c r="N46" s="86">
        <f t="shared" si="0"/>
        <v>0.25</v>
      </c>
      <c r="O46" s="86">
        <v>3.5</v>
      </c>
    </row>
    <row r="47" spans="1:15" x14ac:dyDescent="0.25">
      <c r="A47" s="25">
        <f t="shared" si="1"/>
        <v>38</v>
      </c>
      <c r="B47" s="27"/>
      <c r="C47" s="27"/>
      <c r="D47" s="28">
        <v>2902</v>
      </c>
      <c r="E47" s="34"/>
      <c r="F47" s="29">
        <v>0.05</v>
      </c>
      <c r="G47" s="94" t="s">
        <v>216</v>
      </c>
      <c r="H47" s="30">
        <f>DATE(95,3,10)</f>
        <v>34768</v>
      </c>
      <c r="I47" s="27">
        <v>5</v>
      </c>
      <c r="J47" s="31" t="s">
        <v>38</v>
      </c>
      <c r="K47" s="31" t="s">
        <v>173</v>
      </c>
      <c r="L47" s="27" t="s">
        <v>217</v>
      </c>
      <c r="M47" s="32">
        <f t="shared" si="2"/>
        <v>0.25</v>
      </c>
      <c r="N47" s="86">
        <f t="shared" si="0"/>
        <v>0.25</v>
      </c>
      <c r="O47" s="86">
        <v>1.3</v>
      </c>
    </row>
    <row r="48" spans="1:15" x14ac:dyDescent="0.25">
      <c r="A48" s="25">
        <f t="shared" si="1"/>
        <v>39</v>
      </c>
      <c r="B48" s="27"/>
      <c r="C48" s="27"/>
      <c r="D48" s="28" t="s">
        <v>218</v>
      </c>
      <c r="E48" s="34"/>
      <c r="F48" s="29">
        <v>0.05</v>
      </c>
      <c r="G48" s="94" t="s">
        <v>216</v>
      </c>
      <c r="H48" s="30">
        <f>DATE(96,6,15)</f>
        <v>35231</v>
      </c>
      <c r="I48" s="27">
        <v>5</v>
      </c>
      <c r="J48" s="31" t="s">
        <v>38</v>
      </c>
      <c r="K48" s="31" t="s">
        <v>173</v>
      </c>
      <c r="L48" s="27" t="s">
        <v>166</v>
      </c>
      <c r="M48" s="32">
        <f t="shared" si="2"/>
        <v>0.25</v>
      </c>
      <c r="N48" s="86">
        <f t="shared" si="0"/>
        <v>0.25</v>
      </c>
      <c r="O48" s="86">
        <v>2.25</v>
      </c>
    </row>
    <row r="49" spans="1:15" x14ac:dyDescent="0.25">
      <c r="A49" s="25">
        <f t="shared" si="1"/>
        <v>40</v>
      </c>
      <c r="B49" s="27"/>
      <c r="C49" s="27"/>
      <c r="D49" s="28">
        <v>2903</v>
      </c>
      <c r="E49" s="34"/>
      <c r="F49" s="29">
        <v>0.05</v>
      </c>
      <c r="G49" s="94" t="s">
        <v>219</v>
      </c>
      <c r="H49" s="30">
        <f>DATE(96,3,16)</f>
        <v>35140</v>
      </c>
      <c r="I49" s="27">
        <v>5</v>
      </c>
      <c r="J49" s="31" t="s">
        <v>38</v>
      </c>
      <c r="K49" s="31">
        <v>11111</v>
      </c>
      <c r="L49" s="27"/>
      <c r="M49" s="32">
        <f t="shared" si="2"/>
        <v>0.25</v>
      </c>
      <c r="N49" s="86">
        <f t="shared" si="0"/>
        <v>0.25</v>
      </c>
      <c r="O49" s="86">
        <v>1.3</v>
      </c>
    </row>
    <row r="50" spans="1:15" x14ac:dyDescent="0.25">
      <c r="A50" s="25">
        <f t="shared" si="1"/>
        <v>41</v>
      </c>
      <c r="B50" s="27"/>
      <c r="C50" s="27"/>
      <c r="D50" s="28">
        <v>2904</v>
      </c>
      <c r="E50" s="34"/>
      <c r="F50" s="29">
        <v>0.05</v>
      </c>
      <c r="G50" s="94" t="s">
        <v>219</v>
      </c>
      <c r="H50" s="30">
        <f>DATE(96,3,16)</f>
        <v>35140</v>
      </c>
      <c r="I50" s="27">
        <v>5</v>
      </c>
      <c r="J50" s="31" t="s">
        <v>38</v>
      </c>
      <c r="K50" s="31" t="s">
        <v>173</v>
      </c>
      <c r="L50" s="27" t="s">
        <v>217</v>
      </c>
      <c r="M50" s="32">
        <f t="shared" si="2"/>
        <v>0.25</v>
      </c>
      <c r="N50" s="86">
        <f t="shared" si="0"/>
        <v>0.25</v>
      </c>
      <c r="O50" s="86">
        <v>1.3</v>
      </c>
    </row>
    <row r="51" spans="1:15" x14ac:dyDescent="0.25">
      <c r="A51" s="25">
        <f t="shared" si="1"/>
        <v>42</v>
      </c>
      <c r="B51" s="27"/>
      <c r="C51" s="27"/>
      <c r="D51" s="28" t="s">
        <v>220</v>
      </c>
      <c r="E51" s="34"/>
      <c r="F51" s="29">
        <v>0.05</v>
      </c>
      <c r="G51" s="94" t="s">
        <v>219</v>
      </c>
      <c r="H51" s="30">
        <f>DATE(96,6,15)</f>
        <v>35231</v>
      </c>
      <c r="I51" s="27">
        <v>5</v>
      </c>
      <c r="J51" s="31" t="s">
        <v>38</v>
      </c>
      <c r="K51" s="31" t="s">
        <v>221</v>
      </c>
      <c r="L51" s="27" t="s">
        <v>166</v>
      </c>
      <c r="M51" s="32">
        <f t="shared" si="2"/>
        <v>0.25</v>
      </c>
      <c r="N51" s="86">
        <f t="shared" si="0"/>
        <v>0.25</v>
      </c>
      <c r="O51" s="86">
        <v>2.75</v>
      </c>
    </row>
    <row r="52" spans="1:15" x14ac:dyDescent="0.25">
      <c r="A52" s="25">
        <f t="shared" si="1"/>
        <v>43</v>
      </c>
      <c r="B52" s="27"/>
      <c r="C52" s="27"/>
      <c r="D52" s="28" t="s">
        <v>222</v>
      </c>
      <c r="E52" s="34"/>
      <c r="F52" s="29">
        <v>0.05</v>
      </c>
      <c r="G52" s="94" t="s">
        <v>219</v>
      </c>
      <c r="H52" s="87" t="s">
        <v>223</v>
      </c>
      <c r="I52" s="27">
        <v>5</v>
      </c>
      <c r="J52" s="31" t="s">
        <v>38</v>
      </c>
      <c r="K52" s="31">
        <v>1111</v>
      </c>
      <c r="L52" s="27" t="s">
        <v>166</v>
      </c>
      <c r="M52" s="32">
        <f t="shared" si="2"/>
        <v>0.25</v>
      </c>
      <c r="N52" s="86">
        <f t="shared" si="0"/>
        <v>0.25</v>
      </c>
      <c r="O52" s="86">
        <v>1.4</v>
      </c>
    </row>
    <row r="53" spans="1:15" x14ac:dyDescent="0.25">
      <c r="A53" s="25">
        <f t="shared" si="1"/>
        <v>44</v>
      </c>
      <c r="B53" s="27"/>
      <c r="C53" s="27"/>
      <c r="D53" s="28">
        <v>2905</v>
      </c>
      <c r="E53" s="34"/>
      <c r="F53" s="29">
        <v>0.1</v>
      </c>
      <c r="G53" s="94" t="s">
        <v>224</v>
      </c>
      <c r="H53" s="30">
        <f>DATE(95,3,10)</f>
        <v>34768</v>
      </c>
      <c r="I53" s="27">
        <v>5</v>
      </c>
      <c r="J53" s="31" t="s">
        <v>38</v>
      </c>
      <c r="K53" s="31" t="s">
        <v>173</v>
      </c>
      <c r="L53" s="27" t="s">
        <v>217</v>
      </c>
      <c r="M53" s="32">
        <f t="shared" si="2"/>
        <v>0.5</v>
      </c>
      <c r="N53" s="86">
        <f t="shared" si="0"/>
        <v>0.5</v>
      </c>
      <c r="O53" s="86">
        <v>2</v>
      </c>
    </row>
    <row r="54" spans="1:15" x14ac:dyDescent="0.25">
      <c r="A54" s="25">
        <f t="shared" si="1"/>
        <v>45</v>
      </c>
      <c r="B54" s="27"/>
      <c r="C54" s="27"/>
      <c r="D54" s="28">
        <v>2906</v>
      </c>
      <c r="E54" s="34"/>
      <c r="F54" s="29">
        <v>0.1</v>
      </c>
      <c r="G54" s="94" t="s">
        <v>224</v>
      </c>
      <c r="H54" s="30">
        <f>DATE(96,6,15)</f>
        <v>35231</v>
      </c>
      <c r="I54" s="27">
        <v>5</v>
      </c>
      <c r="J54" s="31" t="s">
        <v>38</v>
      </c>
      <c r="K54" s="31" t="s">
        <v>173</v>
      </c>
      <c r="L54" s="27" t="s">
        <v>166</v>
      </c>
      <c r="M54" s="32">
        <f t="shared" si="2"/>
        <v>0.5</v>
      </c>
      <c r="N54" s="86">
        <f t="shared" si="0"/>
        <v>0.5</v>
      </c>
      <c r="O54" s="86">
        <v>2.5</v>
      </c>
    </row>
    <row r="55" spans="1:15" x14ac:dyDescent="0.25">
      <c r="A55" s="25">
        <f t="shared" si="1"/>
        <v>46</v>
      </c>
      <c r="B55" s="27"/>
      <c r="C55" s="27"/>
      <c r="D55" s="28">
        <v>2907</v>
      </c>
      <c r="E55" s="34"/>
      <c r="F55" s="29">
        <v>0.1</v>
      </c>
      <c r="G55" s="94" t="s">
        <v>225</v>
      </c>
      <c r="H55" s="30">
        <f>DATE(96,5,21)</f>
        <v>35206</v>
      </c>
      <c r="I55" s="27">
        <v>5</v>
      </c>
      <c r="J55" s="31" t="s">
        <v>38</v>
      </c>
      <c r="K55" s="31" t="s">
        <v>199</v>
      </c>
      <c r="L55" s="27" t="s">
        <v>166</v>
      </c>
      <c r="M55" s="32">
        <f t="shared" si="2"/>
        <v>0.5</v>
      </c>
      <c r="N55" s="86">
        <f t="shared" si="0"/>
        <v>0.5</v>
      </c>
      <c r="O55" s="86">
        <v>4</v>
      </c>
    </row>
    <row r="56" spans="1:15" x14ac:dyDescent="0.25">
      <c r="A56" s="25">
        <f t="shared" si="1"/>
        <v>47</v>
      </c>
      <c r="B56" s="27"/>
      <c r="C56" s="27"/>
      <c r="D56" s="28">
        <v>2908</v>
      </c>
      <c r="E56" s="34"/>
      <c r="F56" s="29">
        <v>0.15</v>
      </c>
      <c r="G56" s="40" t="s">
        <v>226</v>
      </c>
      <c r="H56" s="30">
        <f>DATE(95,3,17)</f>
        <v>34775</v>
      </c>
      <c r="I56" s="27">
        <v>5</v>
      </c>
      <c r="J56" s="31" t="s">
        <v>38</v>
      </c>
      <c r="K56" s="31">
        <v>11111</v>
      </c>
      <c r="L56" s="27" t="s">
        <v>36</v>
      </c>
      <c r="M56" s="32">
        <f t="shared" si="2"/>
        <v>0.75</v>
      </c>
      <c r="N56" s="86">
        <f t="shared" si="0"/>
        <v>0.75</v>
      </c>
      <c r="O56" s="86">
        <v>2</v>
      </c>
    </row>
    <row r="57" spans="1:15" x14ac:dyDescent="0.25">
      <c r="A57" s="25">
        <f t="shared" si="1"/>
        <v>48</v>
      </c>
      <c r="B57" s="27"/>
      <c r="C57" s="27"/>
      <c r="D57" s="28">
        <v>2909</v>
      </c>
      <c r="E57" s="34"/>
      <c r="F57" s="29">
        <v>0.15</v>
      </c>
      <c r="G57" s="40" t="s">
        <v>226</v>
      </c>
      <c r="H57" s="30">
        <f>DATE(95,3,17)</f>
        <v>34775</v>
      </c>
      <c r="I57" s="27">
        <v>5</v>
      </c>
      <c r="J57" s="31" t="s">
        <v>38</v>
      </c>
      <c r="K57" s="31" t="s">
        <v>199</v>
      </c>
      <c r="L57" s="27" t="s">
        <v>36</v>
      </c>
      <c r="M57" s="32">
        <f t="shared" si="2"/>
        <v>0.75</v>
      </c>
      <c r="N57" s="86">
        <f t="shared" si="0"/>
        <v>0.75</v>
      </c>
      <c r="O57" s="86">
        <v>2</v>
      </c>
    </row>
    <row r="58" spans="1:15" x14ac:dyDescent="0.25">
      <c r="A58" s="25">
        <f t="shared" si="1"/>
        <v>49</v>
      </c>
      <c r="B58" s="27"/>
      <c r="C58" s="27"/>
      <c r="D58" s="28">
        <v>2910</v>
      </c>
      <c r="E58" s="34"/>
      <c r="F58" s="29">
        <v>0.15</v>
      </c>
      <c r="G58" s="40" t="s">
        <v>226</v>
      </c>
      <c r="H58" s="30">
        <f>DATE(96,6,15)</f>
        <v>35231</v>
      </c>
      <c r="I58" s="27">
        <v>5</v>
      </c>
      <c r="J58" s="31" t="s">
        <v>38</v>
      </c>
      <c r="K58" s="31" t="s">
        <v>199</v>
      </c>
      <c r="L58" s="27" t="s">
        <v>166</v>
      </c>
      <c r="M58" s="32">
        <f t="shared" si="2"/>
        <v>0.75</v>
      </c>
      <c r="N58" s="86">
        <f t="shared" si="0"/>
        <v>0.75</v>
      </c>
      <c r="O58" s="86">
        <v>2</v>
      </c>
    </row>
    <row r="59" spans="1:15" x14ac:dyDescent="0.25">
      <c r="A59" s="25">
        <f t="shared" si="1"/>
        <v>50</v>
      </c>
      <c r="B59" s="27"/>
      <c r="C59" s="27"/>
      <c r="D59" s="28">
        <v>2911</v>
      </c>
      <c r="E59" s="34"/>
      <c r="F59" s="29">
        <v>0.25</v>
      </c>
      <c r="G59" s="104" t="s">
        <v>227</v>
      </c>
      <c r="H59" s="30">
        <f>DATE(95,3,17)</f>
        <v>34775</v>
      </c>
      <c r="I59" s="27">
        <v>5</v>
      </c>
      <c r="J59" s="31" t="s">
        <v>38</v>
      </c>
      <c r="K59" s="31">
        <v>11111</v>
      </c>
      <c r="L59" s="27"/>
      <c r="M59" s="32">
        <f t="shared" si="2"/>
        <v>1.25</v>
      </c>
      <c r="N59" s="86">
        <f t="shared" si="0"/>
        <v>1.25</v>
      </c>
      <c r="O59" s="86">
        <v>3.75</v>
      </c>
    </row>
    <row r="60" spans="1:15" x14ac:dyDescent="0.25">
      <c r="A60" s="25">
        <f t="shared" si="1"/>
        <v>51</v>
      </c>
      <c r="B60" s="27"/>
      <c r="C60" s="27"/>
      <c r="D60" s="28">
        <v>2912</v>
      </c>
      <c r="E60" s="34"/>
      <c r="F60" s="29">
        <v>0.25</v>
      </c>
      <c r="G60" s="104" t="s">
        <v>227</v>
      </c>
      <c r="H60" s="30">
        <f>DATE(95,3,17)</f>
        <v>34775</v>
      </c>
      <c r="I60" s="27">
        <v>5</v>
      </c>
      <c r="J60" s="31" t="s">
        <v>38</v>
      </c>
      <c r="K60" s="31" t="s">
        <v>199</v>
      </c>
      <c r="L60" s="27"/>
      <c r="M60" s="32">
        <f t="shared" si="2"/>
        <v>1.25</v>
      </c>
      <c r="N60" s="86">
        <f t="shared" si="0"/>
        <v>1.25</v>
      </c>
      <c r="O60" s="86">
        <v>4.5</v>
      </c>
    </row>
    <row r="61" spans="1:15" x14ac:dyDescent="0.25">
      <c r="A61" s="25">
        <f t="shared" si="1"/>
        <v>52</v>
      </c>
      <c r="B61" s="27"/>
      <c r="C61" s="27"/>
      <c r="D61" s="28" t="s">
        <v>228</v>
      </c>
      <c r="E61" s="34"/>
      <c r="F61" s="29">
        <v>0.25</v>
      </c>
      <c r="G61" s="104" t="s">
        <v>227</v>
      </c>
      <c r="H61" s="30">
        <f>DATE(96,6,15)</f>
        <v>35231</v>
      </c>
      <c r="I61" s="27">
        <v>5</v>
      </c>
      <c r="J61" s="31" t="s">
        <v>38</v>
      </c>
      <c r="K61" s="31" t="s">
        <v>199</v>
      </c>
      <c r="L61" s="27" t="s">
        <v>166</v>
      </c>
      <c r="M61" s="32">
        <f t="shared" si="2"/>
        <v>1.25</v>
      </c>
      <c r="N61" s="86">
        <f t="shared" si="0"/>
        <v>1.25</v>
      </c>
      <c r="O61" s="86">
        <v>3.75</v>
      </c>
    </row>
    <row r="62" spans="1:15" x14ac:dyDescent="0.25">
      <c r="A62" s="25">
        <f t="shared" si="1"/>
        <v>53</v>
      </c>
      <c r="B62" s="27"/>
      <c r="C62" s="27"/>
      <c r="D62" s="28" t="s">
        <v>229</v>
      </c>
      <c r="E62" s="34"/>
      <c r="F62" s="29">
        <v>0.25</v>
      </c>
      <c r="G62" s="104" t="s">
        <v>227</v>
      </c>
      <c r="H62" s="87" t="s">
        <v>223</v>
      </c>
      <c r="I62" s="27">
        <v>5</v>
      </c>
      <c r="J62" s="31" t="s">
        <v>38</v>
      </c>
      <c r="K62" s="31">
        <v>111111</v>
      </c>
      <c r="L62" s="27" t="s">
        <v>166</v>
      </c>
      <c r="M62" s="32">
        <f t="shared" si="2"/>
        <v>1.25</v>
      </c>
      <c r="N62" s="86">
        <f t="shared" si="0"/>
        <v>1.25</v>
      </c>
      <c r="O62" s="86">
        <v>4</v>
      </c>
    </row>
    <row r="63" spans="1:15" x14ac:dyDescent="0.25">
      <c r="A63" s="25">
        <f t="shared" si="1"/>
        <v>54</v>
      </c>
      <c r="B63" s="27"/>
      <c r="C63" s="27"/>
      <c r="D63" s="28">
        <v>2913</v>
      </c>
      <c r="E63" s="34"/>
      <c r="F63" s="29">
        <v>0.32</v>
      </c>
      <c r="G63" s="40" t="s">
        <v>230</v>
      </c>
      <c r="H63" s="30">
        <f>DATE(95,5,19)</f>
        <v>34838</v>
      </c>
      <c r="I63" s="27">
        <v>5</v>
      </c>
      <c r="J63" s="31" t="s">
        <v>38</v>
      </c>
      <c r="K63" s="31">
        <v>11111</v>
      </c>
      <c r="L63" s="27"/>
      <c r="M63" s="32">
        <f>IF(F63*I63&gt;0,F63*I63," ")</f>
        <v>1.6</v>
      </c>
      <c r="N63" s="86">
        <f t="shared" si="0"/>
        <v>1.6</v>
      </c>
      <c r="O63" s="86">
        <v>5</v>
      </c>
    </row>
    <row r="64" spans="1:15" x14ac:dyDescent="0.25">
      <c r="A64" s="25">
        <f t="shared" si="1"/>
        <v>55</v>
      </c>
      <c r="B64" s="27"/>
      <c r="C64" s="27"/>
      <c r="D64" s="28">
        <v>2914</v>
      </c>
      <c r="E64" s="34"/>
      <c r="F64" s="29">
        <v>0.32</v>
      </c>
      <c r="G64" s="40" t="s">
        <v>230</v>
      </c>
      <c r="H64" s="30">
        <f>DATE(95,5,19)</f>
        <v>34838</v>
      </c>
      <c r="I64" s="27">
        <v>5</v>
      </c>
      <c r="J64" s="31" t="s">
        <v>38</v>
      </c>
      <c r="K64" s="31" t="s">
        <v>199</v>
      </c>
      <c r="L64" s="27"/>
      <c r="M64" s="32">
        <f>IF(F64*I64&gt;0,F64*I64," ")</f>
        <v>1.6</v>
      </c>
      <c r="N64" s="86">
        <f t="shared" si="0"/>
        <v>1.6</v>
      </c>
      <c r="O64" s="86">
        <v>4.5</v>
      </c>
    </row>
    <row r="65" spans="1:15" x14ac:dyDescent="0.25">
      <c r="A65" s="25">
        <f t="shared" si="1"/>
        <v>56</v>
      </c>
      <c r="B65" s="26" t="s">
        <v>36</v>
      </c>
      <c r="C65" s="27"/>
      <c r="D65" s="28">
        <v>2915</v>
      </c>
      <c r="E65" s="34"/>
      <c r="F65" s="29">
        <v>0.32</v>
      </c>
      <c r="G65" s="40" t="s">
        <v>230</v>
      </c>
      <c r="H65" s="30">
        <f>DATE(95,4,18)</f>
        <v>34807</v>
      </c>
      <c r="I65" s="27">
        <v>5</v>
      </c>
      <c r="J65" s="31" t="s">
        <v>38</v>
      </c>
      <c r="K65" s="31" t="s">
        <v>175</v>
      </c>
      <c r="L65" s="27" t="s">
        <v>166</v>
      </c>
      <c r="M65" s="32">
        <f t="shared" ref="M65:M86" si="4">IF(F65*I65&gt;0,F65*I65," ")</f>
        <v>1.6</v>
      </c>
      <c r="N65" s="86">
        <f t="shared" si="0"/>
        <v>1.6</v>
      </c>
      <c r="O65" s="86">
        <v>10.5</v>
      </c>
    </row>
    <row r="66" spans="1:15" x14ac:dyDescent="0.25">
      <c r="A66" s="25">
        <f t="shared" si="1"/>
        <v>57</v>
      </c>
      <c r="B66" s="27"/>
      <c r="C66" s="27"/>
      <c r="D66" s="105" t="s">
        <v>231</v>
      </c>
      <c r="E66" s="34"/>
      <c r="F66" s="29">
        <v>0.32</v>
      </c>
      <c r="G66" s="40" t="s">
        <v>230</v>
      </c>
      <c r="H66" s="30">
        <f>DATE(95,5,21)</f>
        <v>34840</v>
      </c>
      <c r="I66" s="27">
        <v>5</v>
      </c>
      <c r="J66" s="31" t="s">
        <v>38</v>
      </c>
      <c r="K66" s="31">
        <v>88888</v>
      </c>
      <c r="L66" s="27" t="s">
        <v>166</v>
      </c>
      <c r="M66" s="32">
        <f t="shared" si="4"/>
        <v>1.6</v>
      </c>
      <c r="N66" s="86">
        <f t="shared" si="0"/>
        <v>1.6</v>
      </c>
      <c r="O66" s="86">
        <v>4.25</v>
      </c>
    </row>
    <row r="67" spans="1:15" x14ac:dyDescent="0.25">
      <c r="A67" s="25">
        <f t="shared" si="1"/>
        <v>58</v>
      </c>
      <c r="B67" s="27"/>
      <c r="C67" s="27"/>
      <c r="D67" s="28" t="s">
        <v>232</v>
      </c>
      <c r="E67" s="34"/>
      <c r="F67" s="29">
        <v>0.32</v>
      </c>
      <c r="G67" s="40" t="s">
        <v>230</v>
      </c>
      <c r="H67" s="30">
        <f>DATE(96,6,15)</f>
        <v>35231</v>
      </c>
      <c r="I67" s="27">
        <v>5</v>
      </c>
      <c r="J67" s="31" t="s">
        <v>38</v>
      </c>
      <c r="K67" s="31" t="s">
        <v>199</v>
      </c>
      <c r="L67" s="27" t="s">
        <v>166</v>
      </c>
      <c r="M67" s="32">
        <f t="shared" si="4"/>
        <v>1.6</v>
      </c>
      <c r="N67" s="86">
        <f t="shared" si="0"/>
        <v>1.6</v>
      </c>
      <c r="O67" s="86">
        <v>5</v>
      </c>
    </row>
    <row r="68" spans="1:15" x14ac:dyDescent="0.25">
      <c r="A68" s="25">
        <f t="shared" si="1"/>
        <v>59</v>
      </c>
      <c r="B68" s="27"/>
      <c r="C68" s="27"/>
      <c r="D68" s="105" t="s">
        <v>233</v>
      </c>
      <c r="E68" s="34"/>
      <c r="F68" s="29">
        <v>0.32</v>
      </c>
      <c r="G68" s="40" t="s">
        <v>230</v>
      </c>
      <c r="H68" s="30">
        <f>DATE(95,5,21)</f>
        <v>34840</v>
      </c>
      <c r="I68" s="27">
        <v>5</v>
      </c>
      <c r="J68" s="31" t="s">
        <v>38</v>
      </c>
      <c r="K68" s="31">
        <v>66666</v>
      </c>
      <c r="L68" s="27" t="s">
        <v>166</v>
      </c>
      <c r="M68" s="32">
        <f t="shared" si="4"/>
        <v>1.6</v>
      </c>
      <c r="N68" s="86">
        <f t="shared" si="0"/>
        <v>1.6</v>
      </c>
      <c r="O68" s="86">
        <v>30</v>
      </c>
    </row>
    <row r="69" spans="1:15" x14ac:dyDescent="0.25">
      <c r="A69" s="25">
        <f t="shared" si="1"/>
        <v>60</v>
      </c>
      <c r="B69" s="27"/>
      <c r="C69" s="27"/>
      <c r="D69" s="28" t="s">
        <v>234</v>
      </c>
      <c r="E69" s="34"/>
      <c r="F69" s="29">
        <v>0.32</v>
      </c>
      <c r="G69" s="40" t="s">
        <v>230</v>
      </c>
      <c r="H69" s="87" t="s">
        <v>223</v>
      </c>
      <c r="I69" s="27">
        <v>5</v>
      </c>
      <c r="J69" s="31" t="s">
        <v>38</v>
      </c>
      <c r="K69" s="31">
        <v>11111</v>
      </c>
      <c r="L69" s="27" t="s">
        <v>166</v>
      </c>
      <c r="M69" s="32">
        <f t="shared" si="4"/>
        <v>1.6</v>
      </c>
      <c r="N69" s="86">
        <f t="shared" si="0"/>
        <v>1.6</v>
      </c>
      <c r="O69" s="86">
        <v>9</v>
      </c>
    </row>
    <row r="70" spans="1:15" x14ac:dyDescent="0.25">
      <c r="A70" s="25">
        <f t="shared" si="1"/>
        <v>61</v>
      </c>
      <c r="B70" s="27"/>
      <c r="C70" s="27"/>
      <c r="D70" s="28" t="s">
        <v>235</v>
      </c>
      <c r="E70" s="34" t="s">
        <v>88</v>
      </c>
      <c r="F70" s="29">
        <v>0.32</v>
      </c>
      <c r="G70" s="94" t="s">
        <v>208</v>
      </c>
      <c r="H70" s="30">
        <f>DATE(95,9,30)</f>
        <v>34972</v>
      </c>
      <c r="I70" s="27">
        <v>5</v>
      </c>
      <c r="J70" s="31" t="s">
        <v>38</v>
      </c>
      <c r="K70" s="31" t="s">
        <v>211</v>
      </c>
      <c r="L70" s="27" t="s">
        <v>166</v>
      </c>
      <c r="M70" s="32">
        <f t="shared" si="4"/>
        <v>1.6</v>
      </c>
      <c r="N70" s="86">
        <f t="shared" si="0"/>
        <v>1.6</v>
      </c>
      <c r="O70" s="86">
        <v>20</v>
      </c>
    </row>
    <row r="71" spans="1:15" x14ac:dyDescent="0.25">
      <c r="A71" s="25">
        <f t="shared" si="1"/>
        <v>62</v>
      </c>
      <c r="B71" s="27"/>
      <c r="C71" s="27"/>
      <c r="D71" s="28">
        <v>3018</v>
      </c>
      <c r="E71" s="34"/>
      <c r="F71" s="29">
        <v>0.32</v>
      </c>
      <c r="G71" s="94" t="s">
        <v>236</v>
      </c>
      <c r="H71" s="30">
        <f>DATE(95,10,19)</f>
        <v>34991</v>
      </c>
      <c r="I71" s="27">
        <v>5</v>
      </c>
      <c r="J71" s="31" t="s">
        <v>38</v>
      </c>
      <c r="K71" s="31" t="s">
        <v>237</v>
      </c>
      <c r="L71" s="27" t="s">
        <v>166</v>
      </c>
      <c r="M71" s="32">
        <f t="shared" si="4"/>
        <v>1.6</v>
      </c>
      <c r="N71" s="86">
        <f t="shared" si="0"/>
        <v>1.6</v>
      </c>
      <c r="O71" s="86">
        <v>9</v>
      </c>
    </row>
    <row r="72" spans="1:15" s="136" customFormat="1" x14ac:dyDescent="0.25">
      <c r="A72" s="25">
        <f t="shared" si="1"/>
        <v>63</v>
      </c>
      <c r="B72" s="27"/>
      <c r="C72" s="27"/>
      <c r="D72" s="28">
        <v>3044</v>
      </c>
      <c r="E72" s="34"/>
      <c r="F72" s="29">
        <v>0.01</v>
      </c>
      <c r="G72" s="94" t="s">
        <v>238</v>
      </c>
      <c r="H72" s="87" t="s">
        <v>239</v>
      </c>
      <c r="I72" s="27">
        <v>5</v>
      </c>
      <c r="J72" s="31" t="s">
        <v>38</v>
      </c>
      <c r="K72" s="31">
        <v>1111</v>
      </c>
      <c r="L72" s="27" t="s">
        <v>166</v>
      </c>
      <c r="M72" s="32">
        <f t="shared" si="4"/>
        <v>0.05</v>
      </c>
      <c r="N72" s="86">
        <f t="shared" si="0"/>
        <v>0.05</v>
      </c>
      <c r="O72" s="86">
        <v>0.75</v>
      </c>
    </row>
    <row r="73" spans="1:15" x14ac:dyDescent="0.25">
      <c r="A73" s="25">
        <f t="shared" si="1"/>
        <v>64</v>
      </c>
      <c r="B73" s="27"/>
      <c r="C73" s="27"/>
      <c r="D73" s="28">
        <v>3045</v>
      </c>
      <c r="E73" s="34"/>
      <c r="F73" s="29">
        <v>0.02</v>
      </c>
      <c r="G73" s="94" t="s">
        <v>238</v>
      </c>
      <c r="H73" s="87" t="s">
        <v>240</v>
      </c>
      <c r="I73" s="27">
        <v>5</v>
      </c>
      <c r="J73" s="31" t="s">
        <v>38</v>
      </c>
      <c r="K73" s="31">
        <v>11111</v>
      </c>
      <c r="L73" s="27"/>
      <c r="M73" s="32">
        <f t="shared" si="4"/>
        <v>0.1</v>
      </c>
      <c r="N73" s="86">
        <f t="shared" si="0"/>
        <v>0.1</v>
      </c>
      <c r="O73" s="86">
        <v>0.7</v>
      </c>
    </row>
    <row r="74" spans="1:15" x14ac:dyDescent="0.25">
      <c r="A74" s="25">
        <f t="shared" si="1"/>
        <v>65</v>
      </c>
      <c r="B74" s="27"/>
      <c r="C74" s="27"/>
      <c r="D74" s="99">
        <v>3053</v>
      </c>
      <c r="E74" s="34"/>
      <c r="F74" s="29">
        <v>0.2</v>
      </c>
      <c r="G74" s="94" t="s">
        <v>241</v>
      </c>
      <c r="H74" s="30">
        <f>DATE(96,8,2)</f>
        <v>35279</v>
      </c>
      <c r="I74" s="27">
        <v>5</v>
      </c>
      <c r="J74" s="31" t="s">
        <v>38</v>
      </c>
      <c r="K74" s="31" t="s">
        <v>181</v>
      </c>
      <c r="L74" s="27" t="s">
        <v>166</v>
      </c>
      <c r="M74" s="32">
        <f t="shared" si="4"/>
        <v>1</v>
      </c>
      <c r="N74" s="86">
        <f t="shared" ref="N74:N86" si="5">M74</f>
        <v>1</v>
      </c>
      <c r="O74" s="86">
        <v>4.75</v>
      </c>
    </row>
    <row r="75" spans="1:15" x14ac:dyDescent="0.25">
      <c r="A75" s="25">
        <f t="shared" si="1"/>
        <v>66</v>
      </c>
      <c r="B75" s="27"/>
      <c r="C75" s="27"/>
      <c r="D75" s="28">
        <v>3054</v>
      </c>
      <c r="E75" s="34"/>
      <c r="F75" s="29">
        <v>0.32</v>
      </c>
      <c r="G75" s="94" t="s">
        <v>242</v>
      </c>
      <c r="H75" s="87" t="s">
        <v>223</v>
      </c>
      <c r="I75" s="27">
        <v>5</v>
      </c>
      <c r="J75" s="31" t="s">
        <v>38</v>
      </c>
      <c r="K75" s="31">
        <v>4455</v>
      </c>
      <c r="L75" s="27" t="s">
        <v>166</v>
      </c>
      <c r="M75" s="32">
        <f t="shared" si="4"/>
        <v>1.6</v>
      </c>
      <c r="N75" s="86">
        <f t="shared" si="5"/>
        <v>1.6</v>
      </c>
      <c r="O75" s="86">
        <v>4.5</v>
      </c>
    </row>
    <row r="76" spans="1:15" x14ac:dyDescent="0.25">
      <c r="A76" s="25">
        <f t="shared" ref="A76:A92" si="6">A75+1</f>
        <v>67</v>
      </c>
      <c r="B76" s="27"/>
      <c r="C76" s="27"/>
      <c r="D76" s="28">
        <v>3055</v>
      </c>
      <c r="E76" s="34"/>
      <c r="F76" s="29">
        <v>0.2</v>
      </c>
      <c r="G76" s="94" t="s">
        <v>243</v>
      </c>
      <c r="H76" s="87" t="s">
        <v>244</v>
      </c>
      <c r="I76" s="27">
        <v>5</v>
      </c>
      <c r="J76" s="31" t="s">
        <v>38</v>
      </c>
      <c r="K76" s="31">
        <v>1111</v>
      </c>
      <c r="L76" s="27" t="s">
        <v>166</v>
      </c>
      <c r="M76" s="32">
        <f t="shared" si="4"/>
        <v>1</v>
      </c>
      <c r="N76" s="86">
        <f t="shared" si="5"/>
        <v>1</v>
      </c>
      <c r="O76" s="86">
        <v>3</v>
      </c>
    </row>
    <row r="77" spans="1:15" x14ac:dyDescent="0.25">
      <c r="A77" s="25">
        <f t="shared" si="6"/>
        <v>68</v>
      </c>
      <c r="B77" s="27"/>
      <c r="C77" s="27"/>
      <c r="D77" s="28">
        <v>3132</v>
      </c>
      <c r="E77" s="34"/>
      <c r="F77" s="29">
        <v>0.25</v>
      </c>
      <c r="G77" s="104" t="s">
        <v>227</v>
      </c>
      <c r="H77" s="87" t="s">
        <v>223</v>
      </c>
      <c r="I77" s="27">
        <v>5</v>
      </c>
      <c r="J77" s="31" t="s">
        <v>38</v>
      </c>
      <c r="K77" s="31" t="s">
        <v>245</v>
      </c>
      <c r="L77" s="27" t="s">
        <v>166</v>
      </c>
      <c r="M77" s="32">
        <f t="shared" si="4"/>
        <v>1.25</v>
      </c>
      <c r="N77" s="86">
        <f t="shared" si="5"/>
        <v>1.25</v>
      </c>
      <c r="O77" s="86">
        <v>8</v>
      </c>
    </row>
    <row r="78" spans="1:15" x14ac:dyDescent="0.25">
      <c r="A78" s="25">
        <f t="shared" si="6"/>
        <v>69</v>
      </c>
      <c r="B78" s="27"/>
      <c r="C78" s="27"/>
      <c r="D78" s="28">
        <v>3133</v>
      </c>
      <c r="E78" s="34"/>
      <c r="F78" s="29">
        <v>0.32</v>
      </c>
      <c r="G78" s="40" t="s">
        <v>230</v>
      </c>
      <c r="H78" s="87" t="s">
        <v>223</v>
      </c>
      <c r="I78" s="27">
        <v>5</v>
      </c>
      <c r="J78" s="31" t="s">
        <v>38</v>
      </c>
      <c r="K78" s="31" t="s">
        <v>245</v>
      </c>
      <c r="L78" s="27" t="s">
        <v>166</v>
      </c>
      <c r="M78" s="32">
        <f t="shared" si="4"/>
        <v>1.6</v>
      </c>
      <c r="N78" s="86">
        <f t="shared" si="5"/>
        <v>1.6</v>
      </c>
      <c r="O78" s="86">
        <v>9.5</v>
      </c>
    </row>
    <row r="79" spans="1:15" x14ac:dyDescent="0.25">
      <c r="A79" s="25">
        <f t="shared" si="6"/>
        <v>70</v>
      </c>
      <c r="B79" s="27"/>
      <c r="C79" s="27"/>
      <c r="D79" s="28">
        <v>3207</v>
      </c>
      <c r="E79" s="34"/>
      <c r="F79" s="29">
        <v>0.05</v>
      </c>
      <c r="G79" s="94" t="s">
        <v>219</v>
      </c>
      <c r="H79" s="87" t="s">
        <v>244</v>
      </c>
      <c r="I79" s="27">
        <v>5</v>
      </c>
      <c r="J79" s="31" t="s">
        <v>38</v>
      </c>
      <c r="K79" s="31" t="s">
        <v>181</v>
      </c>
      <c r="L79" s="27"/>
      <c r="M79" s="32">
        <f t="shared" si="4"/>
        <v>0.25</v>
      </c>
      <c r="N79" s="86">
        <f t="shared" si="5"/>
        <v>0.25</v>
      </c>
      <c r="O79" s="86">
        <v>1.4</v>
      </c>
    </row>
    <row r="80" spans="1:15" x14ac:dyDescent="0.25">
      <c r="A80" s="25">
        <f t="shared" si="6"/>
        <v>71</v>
      </c>
      <c r="B80" s="27"/>
      <c r="C80" s="27"/>
      <c r="D80" s="28">
        <v>3208</v>
      </c>
      <c r="E80" s="34"/>
      <c r="F80" s="29">
        <v>0.25</v>
      </c>
      <c r="G80" s="104" t="s">
        <v>246</v>
      </c>
      <c r="H80" s="87" t="s">
        <v>244</v>
      </c>
      <c r="I80" s="27">
        <v>5</v>
      </c>
      <c r="J80" s="31" t="s">
        <v>38</v>
      </c>
      <c r="K80" s="31" t="s">
        <v>199</v>
      </c>
      <c r="L80" s="27"/>
      <c r="M80" s="32">
        <f t="shared" si="4"/>
        <v>1.25</v>
      </c>
      <c r="N80" s="86">
        <f t="shared" si="5"/>
        <v>1.25</v>
      </c>
      <c r="O80" s="86">
        <v>3.5</v>
      </c>
    </row>
    <row r="81" spans="1:15" x14ac:dyDescent="0.25">
      <c r="A81" s="25">
        <f t="shared" si="6"/>
        <v>72</v>
      </c>
      <c r="B81" s="27"/>
      <c r="C81" s="27"/>
      <c r="D81" s="28" t="s">
        <v>247</v>
      </c>
      <c r="E81" s="34"/>
      <c r="F81" s="29">
        <v>0.25</v>
      </c>
      <c r="G81" s="104" t="s">
        <v>246</v>
      </c>
      <c r="H81" s="87" t="s">
        <v>244</v>
      </c>
      <c r="I81" s="27">
        <v>5</v>
      </c>
      <c r="J81" s="31" t="s">
        <v>38</v>
      </c>
      <c r="K81" s="31">
        <v>11111</v>
      </c>
      <c r="L81" s="27" t="s">
        <v>166</v>
      </c>
      <c r="M81" s="32">
        <f t="shared" si="4"/>
        <v>1.25</v>
      </c>
      <c r="N81" s="86">
        <f t="shared" si="5"/>
        <v>1.25</v>
      </c>
      <c r="O81" s="86">
        <v>3.5</v>
      </c>
    </row>
    <row r="82" spans="1:15" x14ac:dyDescent="0.25">
      <c r="A82" s="25">
        <f t="shared" si="6"/>
        <v>73</v>
      </c>
      <c r="B82" s="27"/>
      <c r="C82" s="27"/>
      <c r="D82" s="28">
        <v>3228</v>
      </c>
      <c r="E82" s="34"/>
      <c r="F82" s="29">
        <v>0.1</v>
      </c>
      <c r="G82" s="94" t="s">
        <v>248</v>
      </c>
      <c r="H82" s="87" t="s">
        <v>244</v>
      </c>
      <c r="I82" s="27">
        <v>5</v>
      </c>
      <c r="J82" s="31" t="s">
        <v>38</v>
      </c>
      <c r="K82" s="31">
        <v>221</v>
      </c>
      <c r="L82" s="27" t="s">
        <v>166</v>
      </c>
      <c r="M82" s="32">
        <f t="shared" si="4"/>
        <v>0.5</v>
      </c>
      <c r="N82" s="86">
        <f t="shared" si="5"/>
        <v>0.5</v>
      </c>
      <c r="O82" s="86">
        <v>2.25</v>
      </c>
    </row>
    <row r="83" spans="1:15" x14ac:dyDescent="0.25">
      <c r="A83" s="25">
        <f t="shared" si="6"/>
        <v>74</v>
      </c>
      <c r="B83" s="27"/>
      <c r="C83" s="27"/>
      <c r="D83" s="28">
        <v>3229</v>
      </c>
      <c r="E83" s="34"/>
      <c r="F83" s="29">
        <v>0.1</v>
      </c>
      <c r="G83" s="94" t="s">
        <v>248</v>
      </c>
      <c r="H83" s="87" t="s">
        <v>244</v>
      </c>
      <c r="I83" s="27">
        <v>5</v>
      </c>
      <c r="J83" s="31" t="s">
        <v>38</v>
      </c>
      <c r="K83" s="31" t="s">
        <v>173</v>
      </c>
      <c r="L83" s="27" t="s">
        <v>36</v>
      </c>
      <c r="M83" s="32">
        <f t="shared" si="4"/>
        <v>0.5</v>
      </c>
      <c r="N83" s="86">
        <f t="shared" si="5"/>
        <v>0.5</v>
      </c>
      <c r="O83" s="86">
        <v>2.5</v>
      </c>
    </row>
    <row r="84" spans="1:15" x14ac:dyDescent="0.25">
      <c r="A84" s="25">
        <f t="shared" si="6"/>
        <v>75</v>
      </c>
      <c r="B84" s="27"/>
      <c r="C84" s="27"/>
      <c r="D84" s="28">
        <v>3263</v>
      </c>
      <c r="E84" s="34"/>
      <c r="F84" s="29">
        <v>0.22</v>
      </c>
      <c r="G84" s="94" t="s">
        <v>249</v>
      </c>
      <c r="H84" s="87" t="s">
        <v>244</v>
      </c>
      <c r="I84" s="27">
        <v>5</v>
      </c>
      <c r="J84" s="31" t="s">
        <v>38</v>
      </c>
      <c r="K84" s="31">
        <v>1111</v>
      </c>
      <c r="L84" s="27" t="s">
        <v>166</v>
      </c>
      <c r="M84" s="32">
        <f t="shared" si="4"/>
        <v>1.1000000000000001</v>
      </c>
      <c r="N84" s="86">
        <f t="shared" si="5"/>
        <v>1.1000000000000001</v>
      </c>
      <c r="O84" s="86">
        <v>4.25</v>
      </c>
    </row>
    <row r="85" spans="1:15" x14ac:dyDescent="0.25">
      <c r="A85" s="25">
        <f t="shared" si="6"/>
        <v>76</v>
      </c>
      <c r="B85" s="27"/>
      <c r="C85" s="27"/>
      <c r="D85" s="28">
        <v>3265</v>
      </c>
      <c r="E85" s="34"/>
      <c r="F85" s="29">
        <v>0.33</v>
      </c>
      <c r="G85" s="94" t="s">
        <v>250</v>
      </c>
      <c r="H85" s="87" t="s">
        <v>244</v>
      </c>
      <c r="I85" s="27">
        <v>5</v>
      </c>
      <c r="J85" s="31" t="s">
        <v>38</v>
      </c>
      <c r="K85" s="31">
        <v>3333</v>
      </c>
      <c r="L85" s="27" t="s">
        <v>166</v>
      </c>
      <c r="M85" s="32">
        <f t="shared" si="4"/>
        <v>1.6500000000000001</v>
      </c>
      <c r="N85" s="86">
        <f t="shared" si="5"/>
        <v>1.6500000000000001</v>
      </c>
      <c r="O85" s="86">
        <v>7</v>
      </c>
    </row>
    <row r="86" spans="1:15" x14ac:dyDescent="0.25">
      <c r="A86" s="25">
        <f t="shared" si="6"/>
        <v>77</v>
      </c>
      <c r="B86" s="27"/>
      <c r="C86" s="27"/>
      <c r="D86" s="28">
        <v>3281</v>
      </c>
      <c r="E86" s="34"/>
      <c r="F86" s="29">
        <v>0.33</v>
      </c>
      <c r="G86" s="40" t="s">
        <v>230</v>
      </c>
      <c r="H86" s="87" t="s">
        <v>240</v>
      </c>
      <c r="I86" s="27">
        <v>5</v>
      </c>
      <c r="J86" s="31" t="s">
        <v>38</v>
      </c>
      <c r="K86" s="31">
        <v>9999</v>
      </c>
      <c r="L86" s="27" t="s">
        <v>166</v>
      </c>
      <c r="M86" s="32">
        <f t="shared" si="4"/>
        <v>1.6500000000000001</v>
      </c>
      <c r="N86" s="86">
        <f t="shared" si="5"/>
        <v>1.6500000000000001</v>
      </c>
      <c r="O86" s="86">
        <v>4.75</v>
      </c>
    </row>
    <row r="87" spans="1:15" x14ac:dyDescent="0.25">
      <c r="A87" s="25">
        <f t="shared" si="6"/>
        <v>78</v>
      </c>
      <c r="B87" s="27"/>
      <c r="C87" s="27"/>
      <c r="D87" s="28" t="s">
        <v>251</v>
      </c>
      <c r="E87" s="106" t="s">
        <v>88</v>
      </c>
      <c r="F87" s="29">
        <v>0.33</v>
      </c>
      <c r="G87" s="94" t="s">
        <v>252</v>
      </c>
      <c r="H87" s="87" t="s">
        <v>240</v>
      </c>
      <c r="I87" s="27">
        <v>5</v>
      </c>
      <c r="J87" s="31" t="s">
        <v>38</v>
      </c>
      <c r="K87" s="31" t="s">
        <v>253</v>
      </c>
      <c r="L87" s="27" t="s">
        <v>166</v>
      </c>
      <c r="M87" s="32">
        <f t="shared" ref="M87:M92" si="7">IF(F87*I87&gt;0,F87*I87," ")</f>
        <v>1.6500000000000001</v>
      </c>
      <c r="N87" s="86">
        <f t="shared" ref="N87:N92" si="8">M87</f>
        <v>1.6500000000000001</v>
      </c>
      <c r="O87" s="86">
        <v>10</v>
      </c>
    </row>
    <row r="88" spans="1:15" x14ac:dyDescent="0.25">
      <c r="A88" s="25">
        <f t="shared" si="6"/>
        <v>79</v>
      </c>
      <c r="B88" s="27"/>
      <c r="C88" s="27"/>
      <c r="D88" s="28">
        <v>3447</v>
      </c>
      <c r="E88" s="27"/>
      <c r="F88" s="29">
        <v>0.1</v>
      </c>
      <c r="G88" s="26" t="s">
        <v>279</v>
      </c>
      <c r="H88" s="109">
        <v>2000</v>
      </c>
      <c r="I88" s="122">
        <v>5</v>
      </c>
      <c r="J88" s="27"/>
      <c r="K88" s="32"/>
      <c r="L88" s="38"/>
      <c r="M88" s="32">
        <f t="shared" si="7"/>
        <v>0.5</v>
      </c>
      <c r="N88" s="86">
        <f t="shared" si="8"/>
        <v>0.5</v>
      </c>
      <c r="O88" s="32">
        <v>2.25</v>
      </c>
    </row>
    <row r="89" spans="1:15" x14ac:dyDescent="0.25">
      <c r="A89" s="25">
        <f t="shared" si="6"/>
        <v>80</v>
      </c>
      <c r="B89" s="27"/>
      <c r="C89" s="27"/>
      <c r="D89" s="28">
        <v>3452</v>
      </c>
      <c r="E89" s="27"/>
      <c r="F89" s="29">
        <v>0.34</v>
      </c>
      <c r="G89" s="26" t="s">
        <v>123</v>
      </c>
      <c r="H89" s="109">
        <v>2000</v>
      </c>
      <c r="I89" s="122">
        <v>5</v>
      </c>
      <c r="J89" s="27"/>
      <c r="K89" s="32"/>
      <c r="L89" s="38"/>
      <c r="M89" s="32">
        <f t="shared" si="7"/>
        <v>1.7000000000000002</v>
      </c>
      <c r="N89" s="86">
        <f t="shared" si="8"/>
        <v>1.7000000000000002</v>
      </c>
      <c r="O89" s="32">
        <v>5</v>
      </c>
    </row>
    <row r="90" spans="1:15" x14ac:dyDescent="0.25">
      <c r="A90" s="25">
        <f t="shared" si="6"/>
        <v>81</v>
      </c>
      <c r="B90" s="27"/>
      <c r="C90" s="27"/>
      <c r="D90" s="28">
        <v>3453</v>
      </c>
      <c r="E90" s="27"/>
      <c r="F90" s="29">
        <v>0.34</v>
      </c>
      <c r="G90" s="26" t="s">
        <v>123</v>
      </c>
      <c r="H90" s="109">
        <v>2000</v>
      </c>
      <c r="I90" s="122">
        <v>5</v>
      </c>
      <c r="J90" s="27"/>
      <c r="K90" s="32"/>
      <c r="L90" s="38"/>
      <c r="M90" s="32">
        <f t="shared" si="7"/>
        <v>1.7000000000000002</v>
      </c>
      <c r="N90" s="86">
        <f t="shared" si="8"/>
        <v>1.7000000000000002</v>
      </c>
      <c r="O90" s="32">
        <v>6.5</v>
      </c>
    </row>
    <row r="91" spans="1:15" x14ac:dyDescent="0.25">
      <c r="A91" s="25">
        <f t="shared" si="6"/>
        <v>82</v>
      </c>
      <c r="B91" s="27"/>
      <c r="C91" s="27"/>
      <c r="D91" s="28">
        <v>3466</v>
      </c>
      <c r="E91" s="27"/>
      <c r="F91" s="29">
        <v>0.34</v>
      </c>
      <c r="G91" s="26" t="s">
        <v>123</v>
      </c>
      <c r="H91" s="109">
        <v>2001</v>
      </c>
      <c r="I91" s="122">
        <v>5</v>
      </c>
      <c r="J91" s="27"/>
      <c r="K91" s="32"/>
      <c r="L91" s="38"/>
      <c r="M91" s="32">
        <f t="shared" si="7"/>
        <v>1.7000000000000002</v>
      </c>
      <c r="N91" s="86">
        <f t="shared" si="8"/>
        <v>1.7000000000000002</v>
      </c>
      <c r="O91" s="32">
        <v>5</v>
      </c>
    </row>
    <row r="92" spans="1:15" ht="16.5" thickBot="1" x14ac:dyDescent="0.3">
      <c r="A92" s="25">
        <f t="shared" si="6"/>
        <v>83</v>
      </c>
      <c r="B92" s="27"/>
      <c r="C92" s="27"/>
      <c r="D92" s="28">
        <v>3477</v>
      </c>
      <c r="E92" s="27"/>
      <c r="F92" s="29">
        <v>0.34</v>
      </c>
      <c r="G92" s="26" t="s">
        <v>123</v>
      </c>
      <c r="H92" s="109">
        <v>2001</v>
      </c>
      <c r="I92" s="122">
        <v>5</v>
      </c>
      <c r="J92" s="27"/>
      <c r="K92" s="32"/>
      <c r="L92" s="38"/>
      <c r="M92" s="32">
        <f t="shared" si="7"/>
        <v>1.7000000000000002</v>
      </c>
      <c r="N92" s="86">
        <f t="shared" si="8"/>
        <v>1.7000000000000002</v>
      </c>
      <c r="O92" s="32">
        <v>5</v>
      </c>
    </row>
    <row r="93" spans="1:15" ht="16.5" thickTop="1" x14ac:dyDescent="0.25">
      <c r="A93" s="41"/>
      <c r="B93" s="42" t="s">
        <v>69</v>
      </c>
      <c r="C93" s="43"/>
      <c r="D93" s="44"/>
      <c r="E93" s="43"/>
      <c r="F93" s="45"/>
      <c r="G93" s="43"/>
      <c r="H93" s="43"/>
      <c r="I93" s="43"/>
      <c r="J93" s="46"/>
      <c r="K93" s="47"/>
      <c r="L93" s="47"/>
      <c r="M93" s="48"/>
      <c r="N93" s="49"/>
      <c r="O93" s="50"/>
    </row>
    <row r="94" spans="1:15" ht="16.5" thickBot="1" x14ac:dyDescent="0.3">
      <c r="A94" s="51"/>
      <c r="B94" s="52" t="s">
        <v>70</v>
      </c>
      <c r="C94" s="53"/>
      <c r="D94" s="54"/>
      <c r="E94" s="53"/>
      <c r="F94" s="55"/>
      <c r="G94" s="53"/>
      <c r="H94" s="53"/>
      <c r="I94" s="53"/>
      <c r="J94" s="56"/>
      <c r="K94" s="47"/>
      <c r="L94" s="57" t="s">
        <v>2</v>
      </c>
      <c r="M94" s="58"/>
      <c r="N94" s="58"/>
      <c r="O94" s="59"/>
    </row>
    <row r="95" spans="1:15" ht="16.5" thickTop="1" x14ac:dyDescent="0.25">
      <c r="A95" s="51"/>
      <c r="B95" s="52" t="s">
        <v>71</v>
      </c>
      <c r="C95" s="53"/>
      <c r="D95" s="54"/>
      <c r="E95" s="60"/>
      <c r="F95" s="61"/>
      <c r="G95" s="60"/>
      <c r="H95" s="60"/>
      <c r="I95" s="53"/>
      <c r="J95" s="56"/>
      <c r="K95" s="47"/>
      <c r="L95" s="62"/>
      <c r="M95" s="63"/>
      <c r="N95" s="63"/>
      <c r="O95" s="64"/>
    </row>
    <row r="96" spans="1:15" x14ac:dyDescent="0.25">
      <c r="A96" s="51"/>
      <c r="B96" s="52"/>
      <c r="C96" s="107"/>
      <c r="D96" s="102"/>
      <c r="E96" s="60"/>
      <c r="F96" s="61"/>
      <c r="G96" s="60"/>
      <c r="H96" s="60"/>
      <c r="I96" s="53"/>
      <c r="J96" s="56"/>
      <c r="K96" s="47"/>
      <c r="L96" s="65" t="s">
        <v>72</v>
      </c>
      <c r="M96" s="66"/>
      <c r="N96" s="67"/>
      <c r="O96" s="68">
        <f>SUM(M10:M92)</f>
        <v>89.600000000000009</v>
      </c>
    </row>
    <row r="97" spans="1:15" x14ac:dyDescent="0.25">
      <c r="A97" s="51"/>
      <c r="B97" s="69" t="s">
        <v>73</v>
      </c>
      <c r="C97" s="53"/>
      <c r="D97" s="54"/>
      <c r="E97" s="60"/>
      <c r="F97" s="61"/>
      <c r="G97" s="60"/>
      <c r="H97" s="60"/>
      <c r="I97" s="53"/>
      <c r="J97" s="56"/>
      <c r="K97" s="47"/>
      <c r="L97" s="65" t="s">
        <v>74</v>
      </c>
      <c r="M97" s="66"/>
      <c r="N97" s="67"/>
      <c r="O97" s="68">
        <f>SUM(N10:N92)</f>
        <v>89.600000000000009</v>
      </c>
    </row>
    <row r="98" spans="1:15" x14ac:dyDescent="0.25">
      <c r="A98" s="51"/>
      <c r="B98" s="69" t="s">
        <v>75</v>
      </c>
      <c r="C98" s="53"/>
      <c r="D98" s="54"/>
      <c r="E98" s="53"/>
      <c r="F98" s="55"/>
      <c r="G98" s="53"/>
      <c r="H98" s="53"/>
      <c r="I98" s="53"/>
      <c r="J98" s="56"/>
      <c r="K98" s="47"/>
      <c r="L98" s="65" t="s">
        <v>76</v>
      </c>
      <c r="M98" s="66"/>
      <c r="N98" s="67"/>
      <c r="O98" s="68">
        <f>SUM(O10:O92)</f>
        <v>414.55</v>
      </c>
    </row>
    <row r="99" spans="1:15" ht="16.5" thickBot="1" x14ac:dyDescent="0.3">
      <c r="A99" s="70"/>
      <c r="B99" s="71" t="s">
        <v>77</v>
      </c>
      <c r="C99" s="72"/>
      <c r="D99" s="73"/>
      <c r="E99" s="72"/>
      <c r="F99" s="74"/>
      <c r="G99" s="72"/>
      <c r="H99" s="72"/>
      <c r="I99" s="72"/>
      <c r="J99" s="75"/>
      <c r="K99" s="76"/>
      <c r="L99" s="77" t="s">
        <v>78</v>
      </c>
      <c r="M99" s="78"/>
      <c r="N99" s="78"/>
      <c r="O99" s="79">
        <f>SUM(I10:I92)</f>
        <v>384</v>
      </c>
    </row>
    <row r="100" spans="1:15" ht="16.5" thickTop="1" x14ac:dyDescent="0.25">
      <c r="A100" s="80"/>
      <c r="B100" s="81" t="s">
        <v>268</v>
      </c>
      <c r="C100" s="82"/>
      <c r="D100" s="82"/>
      <c r="E100" s="82"/>
      <c r="F100" s="83"/>
      <c r="G100" s="82"/>
      <c r="H100" s="82"/>
      <c r="I100" s="82"/>
      <c r="J100" s="84"/>
      <c r="K100" s="82"/>
      <c r="L100" s="82"/>
      <c r="M100" s="83"/>
      <c r="N100" s="83"/>
      <c r="O100" s="85"/>
    </row>
  </sheetData>
  <printOptions gridLinesSet="0"/>
  <pageMargins left="0.75" right="0.25" top="0.75" bottom="0.55000000000000004" header="0.5" footer="0.5"/>
  <pageSetup scale="44" orientation="portrait" horizontalDpi="300" verticalDpi="300" r:id="rId1"/>
  <headerFooter alignWithMargins="0">
    <oddHeader>&amp;L&amp;D</oddHeader>
    <oddFooter>&amp;LREGPNC04.XLS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O94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0" style="11" customWidth="1"/>
    <col min="7" max="7" width="39.5703125" style="11" customWidth="1"/>
    <col min="8" max="8" width="12.42578125" style="11" customWidth="1"/>
    <col min="9" max="9" width="7.42578125" style="11" customWidth="1"/>
    <col min="10" max="10" width="6.140625" style="11" customWidth="1"/>
    <col min="11" max="11" width="7.42578125" style="11" customWidth="1"/>
    <col min="12" max="12" width="39.5703125" style="11" customWidth="1"/>
    <col min="13" max="14" width="10" style="11" customWidth="1"/>
    <col min="15" max="15" width="13.85546875" style="11" customWidth="1"/>
    <col min="16" max="16" width="2.28515625" style="11" customWidth="1"/>
    <col min="17" max="16384" width="12.5703125" style="11"/>
  </cols>
  <sheetData>
    <row r="1" spans="1:15" x14ac:dyDescent="0.25">
      <c r="N1" s="12" t="s">
        <v>15</v>
      </c>
    </row>
    <row r="3" spans="1:15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</row>
    <row r="4" spans="1:15" ht="30.75" x14ac:dyDescent="0.45">
      <c r="A4" s="13" t="s">
        <v>17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</row>
    <row r="5" spans="1:15" ht="30.75" x14ac:dyDescent="0.45">
      <c r="A5" s="13" t="s">
        <v>254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</row>
    <row r="6" spans="1:15" x14ac:dyDescent="0.25">
      <c r="N6" s="12" t="s">
        <v>3</v>
      </c>
    </row>
    <row r="8" spans="1:15" x14ac:dyDescent="0.25">
      <c r="A8" s="15" t="s">
        <v>19</v>
      </c>
      <c r="B8" s="16"/>
      <c r="C8" s="17" t="s">
        <v>20</v>
      </c>
      <c r="D8" s="18"/>
      <c r="E8" s="19"/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27</v>
      </c>
      <c r="M8" s="20" t="s">
        <v>5</v>
      </c>
      <c r="N8" s="20" t="s">
        <v>28</v>
      </c>
      <c r="O8" s="20" t="s">
        <v>29</v>
      </c>
    </row>
    <row r="9" spans="1:15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2"/>
      <c r="K9" s="24" t="s">
        <v>255</v>
      </c>
      <c r="L9" s="22"/>
      <c r="M9" s="24" t="s">
        <v>10</v>
      </c>
      <c r="N9" s="24" t="s">
        <v>11</v>
      </c>
      <c r="O9" s="24" t="s">
        <v>10</v>
      </c>
    </row>
    <row r="10" spans="1:15" ht="16.5" thickTop="1" x14ac:dyDescent="0.25">
      <c r="A10" s="25"/>
      <c r="B10" s="26" t="s">
        <v>36</v>
      </c>
      <c r="C10" s="27"/>
      <c r="D10" s="34"/>
      <c r="E10" s="27"/>
      <c r="F10" s="29"/>
      <c r="G10" s="27"/>
      <c r="H10" s="108" t="s">
        <v>36</v>
      </c>
      <c r="I10" s="27"/>
      <c r="J10" s="27"/>
      <c r="K10" s="27"/>
      <c r="L10" s="27"/>
      <c r="M10" s="32" t="str">
        <f>IF(F10*I10&gt;0,F10*I10," ")</f>
        <v xml:space="preserve"> </v>
      </c>
      <c r="N10" s="33" t="s">
        <v>36</v>
      </c>
      <c r="O10" s="32"/>
    </row>
    <row r="11" spans="1:15" x14ac:dyDescent="0.25">
      <c r="A11" s="25">
        <f t="shared" ref="A11:A74" si="0">A10+1</f>
        <v>1</v>
      </c>
      <c r="B11" s="27"/>
      <c r="C11" s="27" t="s">
        <v>256</v>
      </c>
      <c r="D11" s="34">
        <v>37</v>
      </c>
      <c r="E11" s="27"/>
      <c r="F11" s="29">
        <v>0.05</v>
      </c>
      <c r="G11" s="27" t="s">
        <v>257</v>
      </c>
      <c r="H11" s="30">
        <f>DATE(48,1,5)</f>
        <v>17537</v>
      </c>
      <c r="I11" s="27">
        <v>2</v>
      </c>
      <c r="J11" s="31" t="s">
        <v>40</v>
      </c>
      <c r="K11" s="109" t="s">
        <v>39</v>
      </c>
      <c r="L11" s="27"/>
      <c r="M11" s="32">
        <f>IF(F11*I11&gt;0,F11*I11," ")</f>
        <v>0.1</v>
      </c>
      <c r="N11" s="32">
        <v>7</v>
      </c>
      <c r="O11" s="32">
        <v>10</v>
      </c>
    </row>
    <row r="12" spans="1:15" x14ac:dyDescent="0.25">
      <c r="A12" s="25">
        <f t="shared" si="0"/>
        <v>2</v>
      </c>
      <c r="B12" s="27"/>
      <c r="C12" s="27" t="s">
        <v>256</v>
      </c>
      <c r="D12" s="34">
        <v>41</v>
      </c>
      <c r="E12" s="27"/>
      <c r="F12" s="29">
        <v>0.06</v>
      </c>
      <c r="G12" s="27" t="s">
        <v>257</v>
      </c>
      <c r="H12" s="30">
        <f>DATE(49,8,25)</f>
        <v>18135</v>
      </c>
      <c r="I12" s="27">
        <v>2</v>
      </c>
      <c r="J12" s="31" t="s">
        <v>40</v>
      </c>
      <c r="K12" s="109" t="s">
        <v>39</v>
      </c>
      <c r="L12" s="27"/>
      <c r="M12" s="32">
        <f t="shared" ref="M12:M75" si="1">IF(F12*I12&gt;0,F12*I12," ")</f>
        <v>0.12</v>
      </c>
      <c r="N12" s="32">
        <v>10</v>
      </c>
      <c r="O12" s="32">
        <v>14</v>
      </c>
    </row>
    <row r="13" spans="1:15" x14ac:dyDescent="0.25">
      <c r="A13" s="25">
        <f t="shared" si="0"/>
        <v>3</v>
      </c>
      <c r="B13" s="27"/>
      <c r="C13" s="27" t="s">
        <v>256</v>
      </c>
      <c r="D13" s="34">
        <v>52</v>
      </c>
      <c r="E13" s="27"/>
      <c r="F13" s="29">
        <v>7.0000000000000007E-2</v>
      </c>
      <c r="G13" s="27" t="s">
        <v>258</v>
      </c>
      <c r="H13" s="30">
        <f>DATE(58,7,31)</f>
        <v>21397</v>
      </c>
      <c r="I13" s="27">
        <v>2</v>
      </c>
      <c r="J13" s="31" t="s">
        <v>40</v>
      </c>
      <c r="K13" s="109" t="s">
        <v>39</v>
      </c>
      <c r="L13" s="27"/>
      <c r="M13" s="32">
        <f t="shared" si="1"/>
        <v>0.14000000000000001</v>
      </c>
      <c r="N13" s="32">
        <v>13</v>
      </c>
      <c r="O13" s="32">
        <v>14</v>
      </c>
    </row>
    <row r="14" spans="1:15" x14ac:dyDescent="0.25">
      <c r="A14" s="25">
        <f t="shared" si="0"/>
        <v>4</v>
      </c>
      <c r="B14" s="27"/>
      <c r="C14" s="27" t="s">
        <v>256</v>
      </c>
      <c r="D14" s="34">
        <v>61</v>
      </c>
      <c r="E14" s="27"/>
      <c r="F14" s="29">
        <v>7.0000000000000007E-2</v>
      </c>
      <c r="G14" s="27" t="s">
        <v>258</v>
      </c>
      <c r="H14" s="30">
        <f>DATE(60,10,22)</f>
        <v>22211</v>
      </c>
      <c r="I14" s="27">
        <v>2</v>
      </c>
      <c r="J14" s="31" t="s">
        <v>40</v>
      </c>
      <c r="K14" s="109" t="s">
        <v>39</v>
      </c>
      <c r="L14" s="27"/>
      <c r="M14" s="32">
        <f t="shared" si="1"/>
        <v>0.14000000000000001</v>
      </c>
      <c r="N14" s="32">
        <v>27</v>
      </c>
      <c r="O14" s="32">
        <v>35</v>
      </c>
    </row>
    <row r="15" spans="1:15" x14ac:dyDescent="0.25">
      <c r="A15" s="25">
        <f t="shared" si="0"/>
        <v>5</v>
      </c>
      <c r="B15" s="27"/>
      <c r="C15" s="27" t="s">
        <v>256</v>
      </c>
      <c r="D15" s="34">
        <v>65</v>
      </c>
      <c r="E15" s="27" t="s">
        <v>88</v>
      </c>
      <c r="F15" s="29">
        <v>0.08</v>
      </c>
      <c r="G15" s="40" t="s">
        <v>259</v>
      </c>
      <c r="H15" s="30">
        <f>DATE(62,12,5)</f>
        <v>22985</v>
      </c>
      <c r="I15" s="27">
        <v>2</v>
      </c>
      <c r="J15" s="31" t="s">
        <v>40</v>
      </c>
      <c r="K15" s="109" t="s">
        <v>39</v>
      </c>
      <c r="L15" s="27"/>
      <c r="M15" s="32">
        <f t="shared" si="1"/>
        <v>0.16</v>
      </c>
      <c r="N15" s="32">
        <v>3</v>
      </c>
      <c r="O15" s="32">
        <v>1.75</v>
      </c>
    </row>
    <row r="16" spans="1:15" x14ac:dyDescent="0.25">
      <c r="A16" s="25">
        <f t="shared" si="0"/>
        <v>6</v>
      </c>
      <c r="B16" s="27"/>
      <c r="C16" s="27" t="s">
        <v>256</v>
      </c>
      <c r="D16" s="34">
        <v>73</v>
      </c>
      <c r="E16" s="27"/>
      <c r="F16" s="29">
        <v>0.1</v>
      </c>
      <c r="G16" s="27" t="s">
        <v>260</v>
      </c>
      <c r="H16" s="30">
        <f>DATE(68,1,5)</f>
        <v>24842</v>
      </c>
      <c r="I16" s="27">
        <v>2</v>
      </c>
      <c r="J16" s="31" t="s">
        <v>38</v>
      </c>
      <c r="K16" s="109" t="s">
        <v>39</v>
      </c>
      <c r="L16" s="27"/>
      <c r="M16" s="32">
        <f t="shared" si="1"/>
        <v>0.2</v>
      </c>
      <c r="N16" s="32">
        <v>2.5</v>
      </c>
      <c r="O16" s="32">
        <v>1.75</v>
      </c>
    </row>
    <row r="17" spans="1:15" x14ac:dyDescent="0.25">
      <c r="A17" s="25">
        <f t="shared" si="0"/>
        <v>7</v>
      </c>
      <c r="B17" s="27"/>
      <c r="C17" s="27" t="s">
        <v>256</v>
      </c>
      <c r="D17" s="34">
        <v>82</v>
      </c>
      <c r="E17" s="27"/>
      <c r="F17" s="29">
        <v>0.11</v>
      </c>
      <c r="G17" s="27" t="s">
        <v>258</v>
      </c>
      <c r="H17" s="30">
        <f>DATE(71,5,7)</f>
        <v>26060</v>
      </c>
      <c r="I17" s="27">
        <v>2</v>
      </c>
      <c r="J17" s="31" t="s">
        <v>38</v>
      </c>
      <c r="K17" s="109" t="s">
        <v>39</v>
      </c>
      <c r="L17" s="27"/>
      <c r="M17" s="32">
        <f t="shared" si="1"/>
        <v>0.22</v>
      </c>
      <c r="N17" s="32">
        <v>0.75</v>
      </c>
      <c r="O17" s="32">
        <v>0.85</v>
      </c>
    </row>
    <row r="18" spans="1:15" x14ac:dyDescent="0.25">
      <c r="A18" s="25">
        <f t="shared" si="0"/>
        <v>8</v>
      </c>
      <c r="B18" s="27"/>
      <c r="C18" s="27" t="s">
        <v>256</v>
      </c>
      <c r="D18" s="34">
        <v>83</v>
      </c>
      <c r="E18" s="27"/>
      <c r="F18" s="29">
        <v>0.13</v>
      </c>
      <c r="G18" s="27" t="s">
        <v>261</v>
      </c>
      <c r="H18" s="30">
        <f>DATE(73,12,27)</f>
        <v>27025</v>
      </c>
      <c r="I18" s="27">
        <v>2</v>
      </c>
      <c r="J18" s="31" t="s">
        <v>38</v>
      </c>
      <c r="K18" s="109" t="s">
        <v>39</v>
      </c>
      <c r="L18" s="27"/>
      <c r="M18" s="32">
        <f t="shared" si="1"/>
        <v>0.26</v>
      </c>
      <c r="N18" s="32">
        <v>0.75</v>
      </c>
      <c r="O18" s="32">
        <v>1.1000000000000001</v>
      </c>
    </row>
    <row r="19" spans="1:15" x14ac:dyDescent="0.25">
      <c r="A19" s="25">
        <f t="shared" si="0"/>
        <v>9</v>
      </c>
      <c r="B19" s="27"/>
      <c r="C19" s="27"/>
      <c r="D19" s="34"/>
      <c r="E19" s="27"/>
      <c r="F19" s="29"/>
      <c r="G19" s="27"/>
      <c r="H19" s="108" t="s">
        <v>36</v>
      </c>
      <c r="I19" s="27"/>
      <c r="J19" s="27"/>
      <c r="K19" s="27"/>
      <c r="L19" s="27"/>
      <c r="M19" s="32" t="str">
        <f t="shared" si="1"/>
        <v xml:space="preserve"> </v>
      </c>
      <c r="N19" s="32"/>
      <c r="O19" s="32"/>
    </row>
    <row r="20" spans="1:15" x14ac:dyDescent="0.25">
      <c r="A20" s="25">
        <f t="shared" si="0"/>
        <v>10</v>
      </c>
      <c r="B20" s="27"/>
      <c r="C20" s="27"/>
      <c r="D20" s="34"/>
      <c r="E20" s="27"/>
      <c r="F20" s="29"/>
      <c r="G20" s="27"/>
      <c r="H20" s="108" t="s">
        <v>36</v>
      </c>
      <c r="I20" s="27"/>
      <c r="J20" s="27"/>
      <c r="K20" s="27"/>
      <c r="L20" s="27"/>
      <c r="M20" s="32" t="str">
        <f t="shared" si="1"/>
        <v xml:space="preserve"> </v>
      </c>
      <c r="N20" s="32"/>
      <c r="O20" s="32"/>
    </row>
    <row r="21" spans="1:15" x14ac:dyDescent="0.25">
      <c r="A21" s="25">
        <f t="shared" si="0"/>
        <v>11</v>
      </c>
      <c r="B21" s="27"/>
      <c r="C21" s="27"/>
      <c r="D21" s="34"/>
      <c r="E21" s="27"/>
      <c r="F21" s="29"/>
      <c r="G21" s="27"/>
      <c r="H21" s="108" t="s">
        <v>36</v>
      </c>
      <c r="I21" s="27"/>
      <c r="J21" s="27"/>
      <c r="K21" s="27"/>
      <c r="L21" s="27"/>
      <c r="M21" s="32" t="str">
        <f t="shared" si="1"/>
        <v xml:space="preserve"> </v>
      </c>
      <c r="N21" s="32"/>
      <c r="O21" s="32"/>
    </row>
    <row r="22" spans="1:15" x14ac:dyDescent="0.25">
      <c r="A22" s="25">
        <f t="shared" si="0"/>
        <v>12</v>
      </c>
      <c r="B22" s="27"/>
      <c r="C22" s="27"/>
      <c r="D22" s="34"/>
      <c r="E22" s="27"/>
      <c r="F22" s="29"/>
      <c r="G22" s="27"/>
      <c r="H22" s="108" t="s">
        <v>36</v>
      </c>
      <c r="I22" s="27"/>
      <c r="J22" s="27"/>
      <c r="K22" s="27"/>
      <c r="L22" s="27"/>
      <c r="M22" s="32" t="str">
        <f t="shared" si="1"/>
        <v xml:space="preserve"> </v>
      </c>
      <c r="N22" s="32"/>
      <c r="O22" s="32"/>
    </row>
    <row r="23" spans="1:15" x14ac:dyDescent="0.25">
      <c r="A23" s="25">
        <f t="shared" si="0"/>
        <v>13</v>
      </c>
      <c r="B23" s="27"/>
      <c r="C23" s="27"/>
      <c r="D23" s="34"/>
      <c r="E23" s="27"/>
      <c r="F23" s="29"/>
      <c r="G23" s="27"/>
      <c r="H23" s="108" t="s">
        <v>36</v>
      </c>
      <c r="I23" s="27"/>
      <c r="J23" s="27"/>
      <c r="K23" s="27"/>
      <c r="L23" s="27"/>
      <c r="M23" s="32" t="str">
        <f t="shared" si="1"/>
        <v xml:space="preserve"> </v>
      </c>
      <c r="N23" s="32"/>
      <c r="O23" s="32"/>
    </row>
    <row r="24" spans="1:15" x14ac:dyDescent="0.25">
      <c r="A24" s="25">
        <f t="shared" si="0"/>
        <v>14</v>
      </c>
      <c r="B24" s="27"/>
      <c r="C24" s="27"/>
      <c r="D24" s="34"/>
      <c r="E24" s="27"/>
      <c r="F24" s="29"/>
      <c r="G24" s="27"/>
      <c r="H24" s="108" t="s">
        <v>36</v>
      </c>
      <c r="I24" s="27"/>
      <c r="J24" s="27"/>
      <c r="K24" s="27"/>
      <c r="L24" s="27"/>
      <c r="M24" s="32" t="str">
        <f t="shared" si="1"/>
        <v xml:space="preserve"> </v>
      </c>
      <c r="N24" s="32"/>
      <c r="O24" s="32"/>
    </row>
    <row r="25" spans="1:15" x14ac:dyDescent="0.25">
      <c r="A25" s="25">
        <f t="shared" si="0"/>
        <v>15</v>
      </c>
      <c r="B25" s="27"/>
      <c r="C25" s="27"/>
      <c r="D25" s="34"/>
      <c r="E25" s="27"/>
      <c r="F25" s="29"/>
      <c r="G25" s="27"/>
      <c r="H25" s="108" t="s">
        <v>36</v>
      </c>
      <c r="I25" s="27"/>
      <c r="J25" s="27"/>
      <c r="K25" s="27"/>
      <c r="L25" s="27"/>
      <c r="M25" s="32" t="str">
        <f t="shared" si="1"/>
        <v xml:space="preserve"> </v>
      </c>
      <c r="N25" s="32"/>
      <c r="O25" s="32"/>
    </row>
    <row r="26" spans="1:15" x14ac:dyDescent="0.25">
      <c r="A26" s="25">
        <f t="shared" si="0"/>
        <v>16</v>
      </c>
      <c r="B26" s="27"/>
      <c r="C26" s="27"/>
      <c r="D26" s="34"/>
      <c r="E26" s="27"/>
      <c r="F26" s="29"/>
      <c r="G26" s="27"/>
      <c r="H26" s="108" t="s">
        <v>36</v>
      </c>
      <c r="I26" s="27"/>
      <c r="J26" s="27"/>
      <c r="K26" s="27"/>
      <c r="L26" s="27"/>
      <c r="M26" s="32" t="str">
        <f t="shared" si="1"/>
        <v xml:space="preserve"> </v>
      </c>
      <c r="N26" s="32"/>
      <c r="O26" s="32"/>
    </row>
    <row r="27" spans="1:15" x14ac:dyDescent="0.25">
      <c r="A27" s="25">
        <f t="shared" si="0"/>
        <v>17</v>
      </c>
      <c r="B27" s="27"/>
      <c r="C27" s="27"/>
      <c r="D27" s="34"/>
      <c r="E27" s="27"/>
      <c r="F27" s="29"/>
      <c r="G27" s="27"/>
      <c r="H27" s="108" t="s">
        <v>36</v>
      </c>
      <c r="I27" s="27"/>
      <c r="J27" s="27"/>
      <c r="K27" s="27"/>
      <c r="L27" s="27"/>
      <c r="M27" s="32" t="str">
        <f t="shared" si="1"/>
        <v xml:space="preserve"> </v>
      </c>
      <c r="N27" s="32"/>
      <c r="O27" s="32"/>
    </row>
    <row r="28" spans="1:15" x14ac:dyDescent="0.25">
      <c r="A28" s="25">
        <f t="shared" si="0"/>
        <v>18</v>
      </c>
      <c r="B28" s="27"/>
      <c r="C28" s="27"/>
      <c r="D28" s="34"/>
      <c r="E28" s="27"/>
      <c r="F28" s="29"/>
      <c r="G28" s="27"/>
      <c r="H28" s="108" t="s">
        <v>36</v>
      </c>
      <c r="I28" s="27"/>
      <c r="J28" s="27"/>
      <c r="K28" s="27"/>
      <c r="L28" s="27"/>
      <c r="M28" s="32" t="str">
        <f t="shared" si="1"/>
        <v xml:space="preserve"> </v>
      </c>
      <c r="N28" s="32"/>
      <c r="O28" s="32"/>
    </row>
    <row r="29" spans="1:15" x14ac:dyDescent="0.25">
      <c r="A29" s="25">
        <f t="shared" si="0"/>
        <v>19</v>
      </c>
      <c r="B29" s="27"/>
      <c r="C29" s="27"/>
      <c r="D29" s="34"/>
      <c r="E29" s="27"/>
      <c r="F29" s="29"/>
      <c r="G29" s="27"/>
      <c r="H29" s="108" t="s">
        <v>36</v>
      </c>
      <c r="I29" s="27"/>
      <c r="J29" s="27"/>
      <c r="K29" s="27"/>
      <c r="L29" s="27"/>
      <c r="M29" s="32" t="str">
        <f t="shared" si="1"/>
        <v xml:space="preserve"> </v>
      </c>
      <c r="N29" s="32"/>
      <c r="O29" s="32"/>
    </row>
    <row r="30" spans="1:15" x14ac:dyDescent="0.25">
      <c r="A30" s="25">
        <f t="shared" si="0"/>
        <v>20</v>
      </c>
      <c r="B30" s="27"/>
      <c r="C30" s="27"/>
      <c r="D30" s="34"/>
      <c r="E30" s="27"/>
      <c r="F30" s="29"/>
      <c r="G30" s="27"/>
      <c r="H30" s="108" t="s">
        <v>36</v>
      </c>
      <c r="I30" s="27"/>
      <c r="J30" s="27"/>
      <c r="K30" s="27"/>
      <c r="L30" s="27"/>
      <c r="M30" s="32" t="str">
        <f t="shared" si="1"/>
        <v xml:space="preserve"> </v>
      </c>
      <c r="N30" s="32"/>
      <c r="O30" s="32"/>
    </row>
    <row r="31" spans="1:15" x14ac:dyDescent="0.25">
      <c r="A31" s="25">
        <f t="shared" si="0"/>
        <v>21</v>
      </c>
      <c r="B31" s="27"/>
      <c r="C31" s="27"/>
      <c r="D31" s="34"/>
      <c r="E31" s="27"/>
      <c r="F31" s="29"/>
      <c r="G31" s="27"/>
      <c r="H31" s="108" t="s">
        <v>36</v>
      </c>
      <c r="I31" s="27"/>
      <c r="J31" s="27"/>
      <c r="K31" s="27"/>
      <c r="L31" s="27"/>
      <c r="M31" s="32" t="str">
        <f t="shared" si="1"/>
        <v xml:space="preserve"> </v>
      </c>
      <c r="N31" s="32"/>
      <c r="O31" s="32"/>
    </row>
    <row r="32" spans="1:15" x14ac:dyDescent="0.25">
      <c r="A32" s="25">
        <f t="shared" si="0"/>
        <v>22</v>
      </c>
      <c r="B32" s="27"/>
      <c r="C32" s="27"/>
      <c r="D32" s="34"/>
      <c r="E32" s="27"/>
      <c r="F32" s="29"/>
      <c r="G32" s="27"/>
      <c r="H32" s="108" t="s">
        <v>36</v>
      </c>
      <c r="I32" s="27"/>
      <c r="J32" s="27"/>
      <c r="K32" s="27"/>
      <c r="L32" s="27"/>
      <c r="M32" s="32" t="str">
        <f t="shared" si="1"/>
        <v xml:space="preserve"> </v>
      </c>
      <c r="N32" s="32"/>
      <c r="O32" s="32"/>
    </row>
    <row r="33" spans="1:15" x14ac:dyDescent="0.25">
      <c r="A33" s="25">
        <f t="shared" si="0"/>
        <v>23</v>
      </c>
      <c r="B33" s="27"/>
      <c r="C33" s="27"/>
      <c r="D33" s="34"/>
      <c r="E33" s="27"/>
      <c r="F33" s="29"/>
      <c r="G33" s="27"/>
      <c r="H33" s="108" t="s">
        <v>36</v>
      </c>
      <c r="I33" s="27"/>
      <c r="J33" s="27"/>
      <c r="K33" s="27"/>
      <c r="L33" s="27"/>
      <c r="M33" s="32" t="str">
        <f t="shared" si="1"/>
        <v xml:space="preserve"> </v>
      </c>
      <c r="N33" s="32"/>
      <c r="O33" s="32"/>
    </row>
    <row r="34" spans="1:15" x14ac:dyDescent="0.25">
      <c r="A34" s="25">
        <f t="shared" si="0"/>
        <v>24</v>
      </c>
      <c r="B34" s="27"/>
      <c r="C34" s="27"/>
      <c r="D34" s="34"/>
      <c r="E34" s="27"/>
      <c r="F34" s="29"/>
      <c r="G34" s="27"/>
      <c r="H34" s="108" t="s">
        <v>36</v>
      </c>
      <c r="I34" s="27"/>
      <c r="J34" s="27"/>
      <c r="K34" s="27"/>
      <c r="L34" s="27"/>
      <c r="M34" s="32" t="str">
        <f t="shared" si="1"/>
        <v xml:space="preserve"> </v>
      </c>
      <c r="N34" s="32"/>
      <c r="O34" s="32"/>
    </row>
    <row r="35" spans="1:15" x14ac:dyDescent="0.25">
      <c r="A35" s="25">
        <f t="shared" si="0"/>
        <v>25</v>
      </c>
      <c r="B35" s="27"/>
      <c r="C35" s="27"/>
      <c r="D35" s="34"/>
      <c r="E35" s="27"/>
      <c r="F35" s="29"/>
      <c r="G35" s="27"/>
      <c r="H35" s="108" t="s">
        <v>36</v>
      </c>
      <c r="I35" s="27"/>
      <c r="J35" s="27"/>
      <c r="K35" s="27"/>
      <c r="L35" s="27"/>
      <c r="M35" s="32" t="str">
        <f t="shared" si="1"/>
        <v xml:space="preserve"> </v>
      </c>
      <c r="N35" s="32"/>
      <c r="O35" s="32"/>
    </row>
    <row r="36" spans="1:15" x14ac:dyDescent="0.25">
      <c r="A36" s="25">
        <f t="shared" si="0"/>
        <v>26</v>
      </c>
      <c r="B36" s="27"/>
      <c r="C36" s="27"/>
      <c r="D36" s="34"/>
      <c r="E36" s="27"/>
      <c r="F36" s="29"/>
      <c r="G36" s="27"/>
      <c r="H36" s="108" t="s">
        <v>36</v>
      </c>
      <c r="I36" s="27"/>
      <c r="J36" s="27"/>
      <c r="K36" s="27"/>
      <c r="L36" s="27"/>
      <c r="M36" s="32" t="str">
        <f t="shared" si="1"/>
        <v xml:space="preserve"> </v>
      </c>
      <c r="N36" s="32"/>
      <c r="O36" s="32"/>
    </row>
    <row r="37" spans="1:15" x14ac:dyDescent="0.25">
      <c r="A37" s="25">
        <f t="shared" si="0"/>
        <v>27</v>
      </c>
      <c r="B37" s="27"/>
      <c r="C37" s="27"/>
      <c r="D37" s="34"/>
      <c r="E37" s="27"/>
      <c r="F37" s="29"/>
      <c r="G37" s="27"/>
      <c r="H37" s="108" t="s">
        <v>36</v>
      </c>
      <c r="I37" s="27"/>
      <c r="J37" s="27"/>
      <c r="K37" s="27"/>
      <c r="L37" s="27"/>
      <c r="M37" s="32" t="str">
        <f t="shared" si="1"/>
        <v xml:space="preserve"> </v>
      </c>
      <c r="N37" s="32"/>
      <c r="O37" s="32"/>
    </row>
    <row r="38" spans="1:15" x14ac:dyDescent="0.25">
      <c r="A38" s="25">
        <f t="shared" si="0"/>
        <v>28</v>
      </c>
      <c r="B38" s="27"/>
      <c r="C38" s="27"/>
      <c r="D38" s="34"/>
      <c r="E38" s="27"/>
      <c r="F38" s="29"/>
      <c r="G38" s="27"/>
      <c r="H38" s="108" t="s">
        <v>36</v>
      </c>
      <c r="I38" s="27"/>
      <c r="J38" s="27"/>
      <c r="K38" s="27"/>
      <c r="L38" s="27"/>
      <c r="M38" s="32" t="str">
        <f t="shared" si="1"/>
        <v xml:space="preserve"> </v>
      </c>
      <c r="N38" s="32"/>
      <c r="O38" s="32"/>
    </row>
    <row r="39" spans="1:15" x14ac:dyDescent="0.25">
      <c r="A39" s="25">
        <f t="shared" si="0"/>
        <v>29</v>
      </c>
      <c r="B39" s="27"/>
      <c r="C39" s="27"/>
      <c r="D39" s="34"/>
      <c r="E39" s="27"/>
      <c r="F39" s="29"/>
      <c r="G39" s="27"/>
      <c r="H39" s="108" t="s">
        <v>36</v>
      </c>
      <c r="I39" s="27"/>
      <c r="J39" s="27"/>
      <c r="K39" s="27"/>
      <c r="L39" s="27"/>
      <c r="M39" s="32" t="str">
        <f t="shared" si="1"/>
        <v xml:space="preserve"> </v>
      </c>
      <c r="N39" s="32"/>
      <c r="O39" s="32"/>
    </row>
    <row r="40" spans="1:15" x14ac:dyDescent="0.25">
      <c r="A40" s="25">
        <f t="shared" si="0"/>
        <v>30</v>
      </c>
      <c r="B40" s="27"/>
      <c r="C40" s="27"/>
      <c r="D40" s="34"/>
      <c r="E40" s="27"/>
      <c r="F40" s="29"/>
      <c r="G40" s="27"/>
      <c r="H40" s="108" t="s">
        <v>36</v>
      </c>
      <c r="I40" s="27"/>
      <c r="J40" s="27"/>
      <c r="K40" s="27"/>
      <c r="L40" s="27"/>
      <c r="M40" s="32" t="str">
        <f t="shared" si="1"/>
        <v xml:space="preserve"> </v>
      </c>
      <c r="N40" s="32"/>
      <c r="O40" s="32"/>
    </row>
    <row r="41" spans="1:15" x14ac:dyDescent="0.25">
      <c r="A41" s="25">
        <f t="shared" si="0"/>
        <v>31</v>
      </c>
      <c r="B41" s="27"/>
      <c r="C41" s="27"/>
      <c r="D41" s="34"/>
      <c r="E41" s="27"/>
      <c r="F41" s="29"/>
      <c r="G41" s="27"/>
      <c r="H41" s="108" t="s">
        <v>36</v>
      </c>
      <c r="I41" s="27"/>
      <c r="J41" s="27"/>
      <c r="K41" s="27"/>
      <c r="L41" s="27"/>
      <c r="M41" s="32" t="str">
        <f t="shared" si="1"/>
        <v xml:space="preserve"> </v>
      </c>
      <c r="N41" s="32"/>
      <c r="O41" s="32"/>
    </row>
    <row r="42" spans="1:15" x14ac:dyDescent="0.25">
      <c r="A42" s="25">
        <f t="shared" si="0"/>
        <v>32</v>
      </c>
      <c r="B42" s="27"/>
      <c r="C42" s="27"/>
      <c r="D42" s="34"/>
      <c r="E42" s="27"/>
      <c r="F42" s="29"/>
      <c r="G42" s="27"/>
      <c r="H42" s="108" t="s">
        <v>36</v>
      </c>
      <c r="I42" s="27"/>
      <c r="J42" s="27"/>
      <c r="K42" s="27"/>
      <c r="L42" s="27"/>
      <c r="M42" s="32" t="str">
        <f t="shared" si="1"/>
        <v xml:space="preserve"> </v>
      </c>
      <c r="N42" s="32"/>
      <c r="O42" s="32"/>
    </row>
    <row r="43" spans="1:15" x14ac:dyDescent="0.25">
      <c r="A43" s="25">
        <f t="shared" si="0"/>
        <v>33</v>
      </c>
      <c r="B43" s="27"/>
      <c r="C43" s="27"/>
      <c r="D43" s="34"/>
      <c r="E43" s="27"/>
      <c r="F43" s="29"/>
      <c r="G43" s="27"/>
      <c r="H43" s="108" t="s">
        <v>36</v>
      </c>
      <c r="I43" s="27"/>
      <c r="J43" s="27"/>
      <c r="K43" s="27"/>
      <c r="L43" s="27"/>
      <c r="M43" s="32" t="str">
        <f t="shared" si="1"/>
        <v xml:space="preserve"> </v>
      </c>
      <c r="N43" s="32"/>
      <c r="O43" s="32"/>
    </row>
    <row r="44" spans="1:15" x14ac:dyDescent="0.25">
      <c r="A44" s="25">
        <f t="shared" si="0"/>
        <v>34</v>
      </c>
      <c r="B44" s="27"/>
      <c r="C44" s="27"/>
      <c r="D44" s="34"/>
      <c r="E44" s="27"/>
      <c r="F44" s="29"/>
      <c r="G44" s="27"/>
      <c r="H44" s="108" t="s">
        <v>36</v>
      </c>
      <c r="I44" s="27"/>
      <c r="J44" s="27"/>
      <c r="K44" s="27"/>
      <c r="L44" s="27"/>
      <c r="M44" s="32" t="str">
        <f t="shared" si="1"/>
        <v xml:space="preserve"> </v>
      </c>
      <c r="N44" s="32"/>
      <c r="O44" s="32"/>
    </row>
    <row r="45" spans="1:15" x14ac:dyDescent="0.25">
      <c r="A45" s="25">
        <f t="shared" si="0"/>
        <v>35</v>
      </c>
      <c r="B45" s="27"/>
      <c r="C45" s="27"/>
      <c r="D45" s="34"/>
      <c r="E45" s="27"/>
      <c r="F45" s="29"/>
      <c r="G45" s="27"/>
      <c r="H45" s="108" t="s">
        <v>36</v>
      </c>
      <c r="I45" s="27"/>
      <c r="J45" s="27"/>
      <c r="K45" s="27"/>
      <c r="L45" s="27"/>
      <c r="M45" s="32" t="str">
        <f t="shared" si="1"/>
        <v xml:space="preserve"> </v>
      </c>
      <c r="N45" s="32"/>
      <c r="O45" s="32"/>
    </row>
    <row r="46" spans="1:15" x14ac:dyDescent="0.25">
      <c r="A46" s="25">
        <f t="shared" si="0"/>
        <v>36</v>
      </c>
      <c r="B46" s="27"/>
      <c r="C46" s="27"/>
      <c r="D46" s="34"/>
      <c r="E46" s="27"/>
      <c r="F46" s="29"/>
      <c r="G46" s="27"/>
      <c r="H46" s="108" t="s">
        <v>36</v>
      </c>
      <c r="I46" s="27"/>
      <c r="J46" s="27"/>
      <c r="K46" s="27"/>
      <c r="L46" s="27"/>
      <c r="M46" s="32" t="str">
        <f t="shared" si="1"/>
        <v xml:space="preserve"> </v>
      </c>
      <c r="N46" s="32"/>
      <c r="O46" s="32"/>
    </row>
    <row r="47" spans="1:15" x14ac:dyDescent="0.25">
      <c r="A47" s="25">
        <f t="shared" si="0"/>
        <v>37</v>
      </c>
      <c r="B47" s="27"/>
      <c r="C47" s="27"/>
      <c r="D47" s="34"/>
      <c r="E47" s="27"/>
      <c r="F47" s="29"/>
      <c r="G47" s="27"/>
      <c r="H47" s="108" t="s">
        <v>36</v>
      </c>
      <c r="I47" s="27"/>
      <c r="J47" s="27"/>
      <c r="K47" s="27"/>
      <c r="L47" s="27"/>
      <c r="M47" s="32" t="str">
        <f t="shared" si="1"/>
        <v xml:space="preserve"> </v>
      </c>
      <c r="N47" s="32"/>
      <c r="O47" s="32"/>
    </row>
    <row r="48" spans="1:15" x14ac:dyDescent="0.25">
      <c r="A48" s="25">
        <f t="shared" si="0"/>
        <v>38</v>
      </c>
      <c r="B48" s="27"/>
      <c r="C48" s="27"/>
      <c r="D48" s="34"/>
      <c r="E48" s="27"/>
      <c r="F48" s="29"/>
      <c r="G48" s="27"/>
      <c r="H48" s="108" t="s">
        <v>36</v>
      </c>
      <c r="I48" s="27"/>
      <c r="J48" s="27"/>
      <c r="K48" s="27"/>
      <c r="L48" s="27"/>
      <c r="M48" s="32" t="str">
        <f t="shared" si="1"/>
        <v xml:space="preserve"> </v>
      </c>
      <c r="N48" s="32"/>
      <c r="O48" s="32"/>
    </row>
    <row r="49" spans="1:15" x14ac:dyDescent="0.25">
      <c r="A49" s="25">
        <f t="shared" si="0"/>
        <v>39</v>
      </c>
      <c r="B49" s="27"/>
      <c r="C49" s="27"/>
      <c r="D49" s="34"/>
      <c r="E49" s="27"/>
      <c r="F49" s="29"/>
      <c r="G49" s="27"/>
      <c r="H49" s="108" t="s">
        <v>36</v>
      </c>
      <c r="I49" s="27"/>
      <c r="J49" s="27"/>
      <c r="K49" s="27"/>
      <c r="L49" s="27"/>
      <c r="M49" s="32" t="str">
        <f t="shared" si="1"/>
        <v xml:space="preserve"> </v>
      </c>
      <c r="N49" s="32"/>
      <c r="O49" s="32"/>
    </row>
    <row r="50" spans="1:15" x14ac:dyDescent="0.25">
      <c r="A50" s="25">
        <f t="shared" si="0"/>
        <v>40</v>
      </c>
      <c r="B50" s="27"/>
      <c r="C50" s="27"/>
      <c r="D50" s="34"/>
      <c r="E50" s="27"/>
      <c r="F50" s="29"/>
      <c r="G50" s="27"/>
      <c r="H50" s="108" t="s">
        <v>36</v>
      </c>
      <c r="I50" s="27"/>
      <c r="J50" s="27"/>
      <c r="K50" s="27"/>
      <c r="L50" s="27"/>
      <c r="M50" s="32" t="str">
        <f t="shared" si="1"/>
        <v xml:space="preserve"> </v>
      </c>
      <c r="N50" s="32"/>
      <c r="O50" s="32"/>
    </row>
    <row r="51" spans="1:15" x14ac:dyDescent="0.25">
      <c r="A51" s="25">
        <f t="shared" si="0"/>
        <v>41</v>
      </c>
      <c r="B51" s="27"/>
      <c r="C51" s="27"/>
      <c r="D51" s="34"/>
      <c r="E51" s="27"/>
      <c r="F51" s="29"/>
      <c r="G51" s="27"/>
      <c r="H51" s="108" t="s">
        <v>36</v>
      </c>
      <c r="I51" s="27"/>
      <c r="J51" s="27"/>
      <c r="K51" s="27"/>
      <c r="L51" s="27"/>
      <c r="M51" s="32" t="str">
        <f t="shared" si="1"/>
        <v xml:space="preserve"> </v>
      </c>
      <c r="N51" s="32"/>
      <c r="O51" s="32"/>
    </row>
    <row r="52" spans="1:15" x14ac:dyDescent="0.25">
      <c r="A52" s="25">
        <f t="shared" si="0"/>
        <v>42</v>
      </c>
      <c r="B52" s="27"/>
      <c r="C52" s="27"/>
      <c r="D52" s="34"/>
      <c r="E52" s="27"/>
      <c r="F52" s="29"/>
      <c r="G52" s="27"/>
      <c r="H52" s="108" t="s">
        <v>36</v>
      </c>
      <c r="I52" s="27"/>
      <c r="J52" s="27"/>
      <c r="K52" s="27"/>
      <c r="L52" s="27"/>
      <c r="M52" s="32" t="str">
        <f t="shared" si="1"/>
        <v xml:space="preserve"> </v>
      </c>
      <c r="N52" s="32"/>
      <c r="O52" s="32"/>
    </row>
    <row r="53" spans="1:15" x14ac:dyDescent="0.25">
      <c r="A53" s="25">
        <f t="shared" si="0"/>
        <v>43</v>
      </c>
      <c r="B53" s="27"/>
      <c r="C53" s="27"/>
      <c r="D53" s="34"/>
      <c r="E53" s="27"/>
      <c r="F53" s="29"/>
      <c r="G53" s="27"/>
      <c r="H53" s="108" t="s">
        <v>36</v>
      </c>
      <c r="I53" s="27"/>
      <c r="J53" s="27"/>
      <c r="K53" s="27"/>
      <c r="L53" s="27"/>
      <c r="M53" s="32" t="str">
        <f t="shared" si="1"/>
        <v xml:space="preserve"> </v>
      </c>
      <c r="N53" s="32"/>
      <c r="O53" s="32"/>
    </row>
    <row r="54" spans="1:15" x14ac:dyDescent="0.25">
      <c r="A54" s="25">
        <f t="shared" si="0"/>
        <v>44</v>
      </c>
      <c r="B54" s="27"/>
      <c r="C54" s="27"/>
      <c r="D54" s="34"/>
      <c r="E54" s="27"/>
      <c r="F54" s="29"/>
      <c r="G54" s="27"/>
      <c r="H54" s="108" t="s">
        <v>36</v>
      </c>
      <c r="I54" s="27"/>
      <c r="J54" s="27"/>
      <c r="K54" s="27"/>
      <c r="L54" s="27"/>
      <c r="M54" s="32" t="str">
        <f t="shared" si="1"/>
        <v xml:space="preserve"> </v>
      </c>
      <c r="N54" s="32"/>
      <c r="O54" s="32"/>
    </row>
    <row r="55" spans="1:15" x14ac:dyDescent="0.25">
      <c r="A55" s="25">
        <f t="shared" si="0"/>
        <v>45</v>
      </c>
      <c r="B55" s="27"/>
      <c r="C55" s="27"/>
      <c r="D55" s="34"/>
      <c r="E55" s="27"/>
      <c r="F55" s="29"/>
      <c r="G55" s="27"/>
      <c r="H55" s="108" t="s">
        <v>36</v>
      </c>
      <c r="I55" s="27"/>
      <c r="J55" s="27"/>
      <c r="K55" s="27"/>
      <c r="L55" s="27"/>
      <c r="M55" s="32" t="str">
        <f t="shared" si="1"/>
        <v xml:space="preserve"> </v>
      </c>
      <c r="N55" s="32"/>
      <c r="O55" s="32"/>
    </row>
    <row r="56" spans="1:15" x14ac:dyDescent="0.25">
      <c r="A56" s="25">
        <f t="shared" si="0"/>
        <v>46</v>
      </c>
      <c r="B56" s="27"/>
      <c r="C56" s="27"/>
      <c r="D56" s="34"/>
      <c r="E56" s="27"/>
      <c r="F56" s="29"/>
      <c r="G56" s="27"/>
      <c r="H56" s="108" t="s">
        <v>36</v>
      </c>
      <c r="I56" s="27"/>
      <c r="J56" s="27"/>
      <c r="K56" s="27"/>
      <c r="L56" s="27"/>
      <c r="M56" s="32" t="str">
        <f t="shared" si="1"/>
        <v xml:space="preserve"> </v>
      </c>
      <c r="N56" s="32"/>
      <c r="O56" s="32"/>
    </row>
    <row r="57" spans="1:15" x14ac:dyDescent="0.25">
      <c r="A57" s="25">
        <f t="shared" si="0"/>
        <v>47</v>
      </c>
      <c r="B57" s="27"/>
      <c r="C57" s="27"/>
      <c r="D57" s="34"/>
      <c r="E57" s="27"/>
      <c r="F57" s="29"/>
      <c r="G57" s="27"/>
      <c r="H57" s="108" t="s">
        <v>36</v>
      </c>
      <c r="I57" s="27"/>
      <c r="J57" s="27"/>
      <c r="K57" s="27"/>
      <c r="L57" s="27"/>
      <c r="M57" s="32" t="str">
        <f t="shared" si="1"/>
        <v xml:space="preserve"> </v>
      </c>
      <c r="N57" s="32"/>
      <c r="O57" s="32"/>
    </row>
    <row r="58" spans="1:15" x14ac:dyDescent="0.25">
      <c r="A58" s="25">
        <f t="shared" si="0"/>
        <v>48</v>
      </c>
      <c r="B58" s="27"/>
      <c r="C58" s="27"/>
      <c r="D58" s="34"/>
      <c r="E58" s="27"/>
      <c r="F58" s="29"/>
      <c r="G58" s="27"/>
      <c r="H58" s="108" t="s">
        <v>36</v>
      </c>
      <c r="I58" s="27"/>
      <c r="J58" s="27"/>
      <c r="K58" s="27"/>
      <c r="L58" s="27"/>
      <c r="M58" s="32" t="str">
        <f t="shared" si="1"/>
        <v xml:space="preserve"> </v>
      </c>
      <c r="N58" s="32"/>
      <c r="O58" s="32"/>
    </row>
    <row r="59" spans="1:15" x14ac:dyDescent="0.25">
      <c r="A59" s="25">
        <f t="shared" si="0"/>
        <v>49</v>
      </c>
      <c r="B59" s="27"/>
      <c r="C59" s="27"/>
      <c r="D59" s="34"/>
      <c r="E59" s="27"/>
      <c r="F59" s="29"/>
      <c r="G59" s="27"/>
      <c r="H59" s="108" t="s">
        <v>36</v>
      </c>
      <c r="I59" s="27"/>
      <c r="J59" s="27"/>
      <c r="K59" s="27"/>
      <c r="L59" s="27"/>
      <c r="M59" s="32" t="str">
        <f t="shared" si="1"/>
        <v xml:space="preserve"> </v>
      </c>
      <c r="N59" s="32"/>
      <c r="O59" s="32"/>
    </row>
    <row r="60" spans="1:15" x14ac:dyDescent="0.25">
      <c r="A60" s="25">
        <f t="shared" si="0"/>
        <v>50</v>
      </c>
      <c r="B60" s="26" t="s">
        <v>36</v>
      </c>
      <c r="C60" s="27"/>
      <c r="D60" s="34"/>
      <c r="E60" s="27"/>
      <c r="F60" s="110" t="s">
        <v>36</v>
      </c>
      <c r="G60" s="27"/>
      <c r="H60" s="108" t="s">
        <v>36</v>
      </c>
      <c r="I60" s="27"/>
      <c r="J60" s="27"/>
      <c r="K60" s="27"/>
      <c r="L60" s="27"/>
      <c r="M60" s="32" t="str">
        <f t="shared" si="1"/>
        <v xml:space="preserve"> </v>
      </c>
      <c r="N60" s="33" t="s">
        <v>36</v>
      </c>
      <c r="O60" s="32"/>
    </row>
    <row r="61" spans="1:15" x14ac:dyDescent="0.25">
      <c r="A61" s="25">
        <f t="shared" si="0"/>
        <v>51</v>
      </c>
      <c r="B61" s="27"/>
      <c r="C61" s="27"/>
      <c r="D61" s="34"/>
      <c r="E61" s="27"/>
      <c r="F61" s="29"/>
      <c r="G61" s="27"/>
      <c r="H61" s="108" t="s">
        <v>36</v>
      </c>
      <c r="I61" s="27"/>
      <c r="J61" s="27"/>
      <c r="K61" s="27"/>
      <c r="L61" s="27"/>
      <c r="M61" s="32" t="str">
        <f t="shared" si="1"/>
        <v xml:space="preserve"> </v>
      </c>
      <c r="N61" s="32"/>
      <c r="O61" s="32"/>
    </row>
    <row r="62" spans="1:15" x14ac:dyDescent="0.25">
      <c r="A62" s="25">
        <f t="shared" si="0"/>
        <v>52</v>
      </c>
      <c r="B62" s="27"/>
      <c r="C62" s="27"/>
      <c r="D62" s="34"/>
      <c r="E62" s="27"/>
      <c r="F62" s="29"/>
      <c r="G62" s="27"/>
      <c r="H62" s="108" t="s">
        <v>36</v>
      </c>
      <c r="I62" s="27"/>
      <c r="J62" s="27"/>
      <c r="K62" s="27"/>
      <c r="L62" s="27"/>
      <c r="M62" s="32" t="str">
        <f t="shared" si="1"/>
        <v xml:space="preserve"> </v>
      </c>
      <c r="N62" s="32"/>
      <c r="O62" s="32"/>
    </row>
    <row r="63" spans="1:15" x14ac:dyDescent="0.25">
      <c r="A63" s="25">
        <f t="shared" si="0"/>
        <v>53</v>
      </c>
      <c r="B63" s="27"/>
      <c r="C63" s="27"/>
      <c r="D63" s="34"/>
      <c r="E63" s="27"/>
      <c r="F63" s="29"/>
      <c r="G63" s="27"/>
      <c r="H63" s="108" t="s">
        <v>36</v>
      </c>
      <c r="I63" s="27"/>
      <c r="J63" s="27"/>
      <c r="K63" s="27"/>
      <c r="L63" s="27"/>
      <c r="M63" s="32" t="str">
        <f t="shared" si="1"/>
        <v xml:space="preserve"> </v>
      </c>
      <c r="N63" s="32"/>
      <c r="O63" s="32"/>
    </row>
    <row r="64" spans="1:15" x14ac:dyDescent="0.25">
      <c r="A64" s="25">
        <f t="shared" si="0"/>
        <v>54</v>
      </c>
      <c r="B64" s="27"/>
      <c r="C64" s="27"/>
      <c r="D64" s="34"/>
      <c r="E64" s="27"/>
      <c r="F64" s="29"/>
      <c r="G64" s="27"/>
      <c r="H64" s="108" t="s">
        <v>36</v>
      </c>
      <c r="I64" s="27"/>
      <c r="J64" s="27"/>
      <c r="K64" s="27"/>
      <c r="L64" s="27"/>
      <c r="M64" s="32" t="str">
        <f t="shared" si="1"/>
        <v xml:space="preserve"> </v>
      </c>
      <c r="N64" s="32"/>
      <c r="O64" s="32"/>
    </row>
    <row r="65" spans="1:15" x14ac:dyDescent="0.25">
      <c r="A65" s="25">
        <f t="shared" si="0"/>
        <v>55</v>
      </c>
      <c r="B65" s="27"/>
      <c r="C65" s="27"/>
      <c r="D65" s="34"/>
      <c r="E65" s="27"/>
      <c r="F65" s="29"/>
      <c r="G65" s="27"/>
      <c r="H65" s="108" t="s">
        <v>36</v>
      </c>
      <c r="I65" s="27"/>
      <c r="J65" s="27"/>
      <c r="K65" s="27"/>
      <c r="L65" s="27"/>
      <c r="M65" s="32" t="str">
        <f t="shared" si="1"/>
        <v xml:space="preserve"> </v>
      </c>
      <c r="N65" s="32"/>
      <c r="O65" s="32"/>
    </row>
    <row r="66" spans="1:15" x14ac:dyDescent="0.25">
      <c r="A66" s="25">
        <f t="shared" si="0"/>
        <v>56</v>
      </c>
      <c r="B66" s="27"/>
      <c r="C66" s="27"/>
      <c r="D66" s="34"/>
      <c r="E66" s="27"/>
      <c r="F66" s="29"/>
      <c r="G66" s="27"/>
      <c r="H66" s="108" t="s">
        <v>36</v>
      </c>
      <c r="I66" s="27"/>
      <c r="J66" s="27"/>
      <c r="K66" s="27"/>
      <c r="L66" s="27"/>
      <c r="M66" s="32" t="str">
        <f t="shared" si="1"/>
        <v xml:space="preserve"> </v>
      </c>
      <c r="N66" s="32"/>
      <c r="O66" s="32"/>
    </row>
    <row r="67" spans="1:15" x14ac:dyDescent="0.25">
      <c r="A67" s="25">
        <f t="shared" si="0"/>
        <v>57</v>
      </c>
      <c r="B67" s="27"/>
      <c r="C67" s="27"/>
      <c r="D67" s="34"/>
      <c r="E67" s="27"/>
      <c r="F67" s="29"/>
      <c r="G67" s="27"/>
      <c r="H67" s="108" t="s">
        <v>36</v>
      </c>
      <c r="I67" s="27"/>
      <c r="J67" s="27"/>
      <c r="K67" s="27"/>
      <c r="L67" s="27"/>
      <c r="M67" s="32" t="str">
        <f t="shared" si="1"/>
        <v xml:space="preserve"> </v>
      </c>
      <c r="N67" s="32"/>
      <c r="O67" s="32"/>
    </row>
    <row r="68" spans="1:15" x14ac:dyDescent="0.25">
      <c r="A68" s="25">
        <f t="shared" si="0"/>
        <v>58</v>
      </c>
      <c r="B68" s="27"/>
      <c r="C68" s="27"/>
      <c r="D68" s="34"/>
      <c r="E68" s="27"/>
      <c r="F68" s="29"/>
      <c r="G68" s="27"/>
      <c r="H68" s="108" t="s">
        <v>36</v>
      </c>
      <c r="I68" s="27"/>
      <c r="J68" s="27"/>
      <c r="K68" s="27"/>
      <c r="L68" s="27"/>
      <c r="M68" s="32" t="str">
        <f t="shared" si="1"/>
        <v xml:space="preserve"> </v>
      </c>
      <c r="N68" s="32"/>
      <c r="O68" s="32"/>
    </row>
    <row r="69" spans="1:15" x14ac:dyDescent="0.25">
      <c r="A69" s="25">
        <f t="shared" si="0"/>
        <v>59</v>
      </c>
      <c r="B69" s="27"/>
      <c r="C69" s="27"/>
      <c r="D69" s="34"/>
      <c r="E69" s="27"/>
      <c r="F69" s="29"/>
      <c r="G69" s="27"/>
      <c r="H69" s="108" t="s">
        <v>36</v>
      </c>
      <c r="I69" s="27"/>
      <c r="J69" s="27"/>
      <c r="K69" s="27"/>
      <c r="L69" s="27"/>
      <c r="M69" s="32" t="str">
        <f t="shared" si="1"/>
        <v xml:space="preserve"> </v>
      </c>
      <c r="N69" s="32"/>
      <c r="O69" s="32"/>
    </row>
    <row r="70" spans="1:15" x14ac:dyDescent="0.25">
      <c r="A70" s="25">
        <f t="shared" si="0"/>
        <v>60</v>
      </c>
      <c r="B70" s="27"/>
      <c r="C70" s="27"/>
      <c r="D70" s="34"/>
      <c r="E70" s="27"/>
      <c r="F70" s="29"/>
      <c r="G70" s="27"/>
      <c r="H70" s="108" t="s">
        <v>36</v>
      </c>
      <c r="I70" s="27"/>
      <c r="J70" s="27"/>
      <c r="K70" s="27"/>
      <c r="L70" s="27"/>
      <c r="M70" s="32" t="str">
        <f t="shared" si="1"/>
        <v xml:space="preserve"> </v>
      </c>
      <c r="N70" s="32"/>
      <c r="O70" s="32"/>
    </row>
    <row r="71" spans="1:15" x14ac:dyDescent="0.25">
      <c r="A71" s="25">
        <f t="shared" si="0"/>
        <v>61</v>
      </c>
      <c r="B71" s="27"/>
      <c r="C71" s="27"/>
      <c r="D71" s="34"/>
      <c r="E71" s="27"/>
      <c r="F71" s="29"/>
      <c r="G71" s="27"/>
      <c r="H71" s="108" t="s">
        <v>36</v>
      </c>
      <c r="I71" s="27"/>
      <c r="J71" s="27"/>
      <c r="K71" s="27"/>
      <c r="L71" s="27"/>
      <c r="M71" s="32" t="str">
        <f t="shared" si="1"/>
        <v xml:space="preserve"> </v>
      </c>
      <c r="N71" s="32"/>
      <c r="O71" s="32"/>
    </row>
    <row r="72" spans="1:15" x14ac:dyDescent="0.25">
      <c r="A72" s="25">
        <f t="shared" si="0"/>
        <v>62</v>
      </c>
      <c r="B72" s="27"/>
      <c r="C72" s="27"/>
      <c r="D72" s="34"/>
      <c r="E72" s="27"/>
      <c r="F72" s="29"/>
      <c r="G72" s="27"/>
      <c r="H72" s="108" t="s">
        <v>36</v>
      </c>
      <c r="I72" s="27"/>
      <c r="J72" s="27"/>
      <c r="K72" s="27"/>
      <c r="L72" s="27"/>
      <c r="M72" s="32" t="str">
        <f t="shared" si="1"/>
        <v xml:space="preserve"> </v>
      </c>
      <c r="N72" s="32"/>
      <c r="O72" s="32"/>
    </row>
    <row r="73" spans="1:15" x14ac:dyDescent="0.25">
      <c r="A73" s="25">
        <f t="shared" si="0"/>
        <v>63</v>
      </c>
      <c r="B73" s="27"/>
      <c r="C73" s="27"/>
      <c r="D73" s="34"/>
      <c r="E73" s="27"/>
      <c r="F73" s="29"/>
      <c r="G73" s="27"/>
      <c r="H73" s="108" t="s">
        <v>36</v>
      </c>
      <c r="I73" s="27"/>
      <c r="J73" s="27"/>
      <c r="K73" s="27"/>
      <c r="L73" s="27"/>
      <c r="M73" s="32" t="str">
        <f t="shared" si="1"/>
        <v xml:space="preserve"> </v>
      </c>
      <c r="N73" s="32"/>
      <c r="O73" s="32"/>
    </row>
    <row r="74" spans="1:15" x14ac:dyDescent="0.25">
      <c r="A74" s="25">
        <f t="shared" si="0"/>
        <v>64</v>
      </c>
      <c r="B74" s="27"/>
      <c r="C74" s="27"/>
      <c r="D74" s="34"/>
      <c r="E74" s="27"/>
      <c r="F74" s="29"/>
      <c r="G74" s="27"/>
      <c r="H74" s="108" t="s">
        <v>36</v>
      </c>
      <c r="I74" s="27"/>
      <c r="J74" s="27"/>
      <c r="K74" s="27"/>
      <c r="L74" s="27"/>
      <c r="M74" s="32" t="str">
        <f t="shared" si="1"/>
        <v xml:space="preserve"> </v>
      </c>
      <c r="N74" s="32"/>
      <c r="O74" s="32"/>
    </row>
    <row r="75" spans="1:15" x14ac:dyDescent="0.25">
      <c r="A75" s="25">
        <f t="shared" ref="A75:A86" si="2">A74+1</f>
        <v>65</v>
      </c>
      <c r="B75" s="27"/>
      <c r="C75" s="27"/>
      <c r="D75" s="34"/>
      <c r="E75" s="27"/>
      <c r="F75" s="29"/>
      <c r="G75" s="27"/>
      <c r="H75" s="108" t="s">
        <v>36</v>
      </c>
      <c r="I75" s="27"/>
      <c r="J75" s="27"/>
      <c r="K75" s="27"/>
      <c r="L75" s="27"/>
      <c r="M75" s="32" t="str">
        <f t="shared" si="1"/>
        <v xml:space="preserve"> </v>
      </c>
      <c r="N75" s="32"/>
      <c r="O75" s="32"/>
    </row>
    <row r="76" spans="1:15" x14ac:dyDescent="0.25">
      <c r="A76" s="25">
        <f t="shared" si="2"/>
        <v>66</v>
      </c>
      <c r="B76" s="27"/>
      <c r="C76" s="27"/>
      <c r="D76" s="34"/>
      <c r="E76" s="27"/>
      <c r="F76" s="29"/>
      <c r="G76" s="27"/>
      <c r="H76" s="108" t="s">
        <v>36</v>
      </c>
      <c r="I76" s="27"/>
      <c r="J76" s="27"/>
      <c r="K76" s="27"/>
      <c r="L76" s="27"/>
      <c r="M76" s="32" t="str">
        <f t="shared" ref="M76:M86" si="3">IF(F76*I76&gt;0,F76*I76," ")</f>
        <v xml:space="preserve"> </v>
      </c>
      <c r="N76" s="32"/>
      <c r="O76" s="32"/>
    </row>
    <row r="77" spans="1:15" x14ac:dyDescent="0.25">
      <c r="A77" s="25">
        <f t="shared" si="2"/>
        <v>67</v>
      </c>
      <c r="B77" s="27"/>
      <c r="C77" s="27"/>
      <c r="D77" s="34"/>
      <c r="E77" s="27"/>
      <c r="F77" s="29"/>
      <c r="G77" s="27"/>
      <c r="H77" s="108" t="s">
        <v>36</v>
      </c>
      <c r="I77" s="27"/>
      <c r="J77" s="27"/>
      <c r="K77" s="27"/>
      <c r="L77" s="27"/>
      <c r="M77" s="32" t="str">
        <f t="shared" si="3"/>
        <v xml:space="preserve"> </v>
      </c>
      <c r="N77" s="32"/>
      <c r="O77" s="32"/>
    </row>
    <row r="78" spans="1:15" x14ac:dyDescent="0.25">
      <c r="A78" s="25">
        <f t="shared" si="2"/>
        <v>68</v>
      </c>
      <c r="B78" s="27"/>
      <c r="C78" s="27"/>
      <c r="D78" s="34"/>
      <c r="E78" s="27"/>
      <c r="F78" s="29"/>
      <c r="G78" s="27"/>
      <c r="H78" s="108" t="s">
        <v>36</v>
      </c>
      <c r="I78" s="27"/>
      <c r="J78" s="27"/>
      <c r="K78" s="27"/>
      <c r="L78" s="27"/>
      <c r="M78" s="32" t="str">
        <f t="shared" si="3"/>
        <v xml:space="preserve"> </v>
      </c>
      <c r="N78" s="32"/>
      <c r="O78" s="32"/>
    </row>
    <row r="79" spans="1:15" x14ac:dyDescent="0.25">
      <c r="A79" s="25">
        <f t="shared" si="2"/>
        <v>69</v>
      </c>
      <c r="B79" s="27"/>
      <c r="C79" s="27"/>
      <c r="D79" s="34"/>
      <c r="E79" s="27"/>
      <c r="F79" s="29"/>
      <c r="G79" s="27"/>
      <c r="H79" s="108" t="s">
        <v>36</v>
      </c>
      <c r="I79" s="27"/>
      <c r="J79" s="27"/>
      <c r="K79" s="27"/>
      <c r="L79" s="27"/>
      <c r="M79" s="32" t="str">
        <f t="shared" si="3"/>
        <v xml:space="preserve"> </v>
      </c>
      <c r="N79" s="32"/>
      <c r="O79" s="32"/>
    </row>
    <row r="80" spans="1:15" x14ac:dyDescent="0.25">
      <c r="A80" s="25">
        <f t="shared" si="2"/>
        <v>70</v>
      </c>
      <c r="B80" s="27"/>
      <c r="C80" s="27"/>
      <c r="D80" s="34"/>
      <c r="E80" s="27"/>
      <c r="F80" s="29"/>
      <c r="G80" s="27"/>
      <c r="H80" s="108" t="s">
        <v>36</v>
      </c>
      <c r="I80" s="27"/>
      <c r="J80" s="27"/>
      <c r="K80" s="27"/>
      <c r="L80" s="27"/>
      <c r="M80" s="32" t="str">
        <f t="shared" si="3"/>
        <v xml:space="preserve"> </v>
      </c>
      <c r="N80" s="32"/>
      <c r="O80" s="32"/>
    </row>
    <row r="81" spans="1:15" x14ac:dyDescent="0.25">
      <c r="A81" s="25">
        <f t="shared" si="2"/>
        <v>71</v>
      </c>
      <c r="B81" s="27"/>
      <c r="C81" s="27"/>
      <c r="D81" s="34"/>
      <c r="E81" s="27"/>
      <c r="F81" s="29"/>
      <c r="G81" s="27"/>
      <c r="H81" s="108" t="s">
        <v>36</v>
      </c>
      <c r="I81" s="27"/>
      <c r="J81" s="27"/>
      <c r="K81" s="27"/>
      <c r="L81" s="27"/>
      <c r="M81" s="32" t="str">
        <f t="shared" si="3"/>
        <v xml:space="preserve"> </v>
      </c>
      <c r="N81" s="32"/>
      <c r="O81" s="32"/>
    </row>
    <row r="82" spans="1:15" x14ac:dyDescent="0.25">
      <c r="A82" s="25">
        <f t="shared" si="2"/>
        <v>72</v>
      </c>
      <c r="B82" s="27"/>
      <c r="C82" s="27"/>
      <c r="D82" s="34"/>
      <c r="E82" s="27"/>
      <c r="F82" s="29"/>
      <c r="G82" s="27"/>
      <c r="H82" s="108" t="s">
        <v>36</v>
      </c>
      <c r="I82" s="27"/>
      <c r="J82" s="27"/>
      <c r="K82" s="27"/>
      <c r="L82" s="27"/>
      <c r="M82" s="32" t="str">
        <f t="shared" si="3"/>
        <v xml:space="preserve"> </v>
      </c>
      <c r="N82" s="32"/>
      <c r="O82" s="32"/>
    </row>
    <row r="83" spans="1:15" x14ac:dyDescent="0.25">
      <c r="A83" s="25">
        <f t="shared" si="2"/>
        <v>73</v>
      </c>
      <c r="B83" s="27"/>
      <c r="C83" s="27"/>
      <c r="D83" s="34"/>
      <c r="E83" s="27"/>
      <c r="F83" s="29"/>
      <c r="G83" s="27"/>
      <c r="H83" s="108" t="s">
        <v>36</v>
      </c>
      <c r="I83" s="27"/>
      <c r="J83" s="27"/>
      <c r="K83" s="27"/>
      <c r="L83" s="27"/>
      <c r="M83" s="32" t="str">
        <f t="shared" si="3"/>
        <v xml:space="preserve"> </v>
      </c>
      <c r="N83" s="32"/>
      <c r="O83" s="32"/>
    </row>
    <row r="84" spans="1:15" x14ac:dyDescent="0.25">
      <c r="A84" s="25">
        <f t="shared" si="2"/>
        <v>74</v>
      </c>
      <c r="B84" s="27"/>
      <c r="C84" s="27"/>
      <c r="D84" s="34"/>
      <c r="E84" s="27"/>
      <c r="F84" s="29"/>
      <c r="G84" s="27"/>
      <c r="H84" s="108" t="s">
        <v>36</v>
      </c>
      <c r="I84" s="27"/>
      <c r="J84" s="27"/>
      <c r="K84" s="27"/>
      <c r="L84" s="27"/>
      <c r="M84" s="32" t="str">
        <f t="shared" si="3"/>
        <v xml:space="preserve"> </v>
      </c>
      <c r="N84" s="32"/>
      <c r="O84" s="32"/>
    </row>
    <row r="85" spans="1:15" x14ac:dyDescent="0.25">
      <c r="A85" s="25">
        <f t="shared" si="2"/>
        <v>75</v>
      </c>
      <c r="B85" s="27"/>
      <c r="C85" s="27"/>
      <c r="D85" s="34"/>
      <c r="E85" s="27"/>
      <c r="F85" s="29"/>
      <c r="G85" s="27"/>
      <c r="H85" s="108" t="s">
        <v>36</v>
      </c>
      <c r="I85" s="27"/>
      <c r="J85" s="27"/>
      <c r="K85" s="27"/>
      <c r="L85" s="27"/>
      <c r="M85" s="32" t="str">
        <f t="shared" si="3"/>
        <v xml:space="preserve"> </v>
      </c>
      <c r="N85" s="32"/>
      <c r="O85" s="32"/>
    </row>
    <row r="86" spans="1:15" ht="16.5" thickBot="1" x14ac:dyDescent="0.3">
      <c r="A86" s="25">
        <f t="shared" si="2"/>
        <v>76</v>
      </c>
      <c r="B86" s="111"/>
      <c r="C86" s="27"/>
      <c r="D86" s="34"/>
      <c r="E86" s="27"/>
      <c r="F86" s="29"/>
      <c r="G86" s="27"/>
      <c r="H86" s="108" t="s">
        <v>36</v>
      </c>
      <c r="I86" s="27"/>
      <c r="J86" s="27"/>
      <c r="K86" s="27"/>
      <c r="L86" s="27"/>
      <c r="M86" s="32" t="str">
        <f t="shared" si="3"/>
        <v xml:space="preserve"> </v>
      </c>
      <c r="N86" s="112"/>
      <c r="O86" s="112"/>
    </row>
    <row r="87" spans="1:15" ht="16.5" thickTop="1" x14ac:dyDescent="0.25">
      <c r="A87" s="41"/>
      <c r="B87" s="52" t="s">
        <v>69</v>
      </c>
      <c r="C87" s="43"/>
      <c r="D87" s="44"/>
      <c r="E87" s="43"/>
      <c r="F87" s="45"/>
      <c r="G87" s="43"/>
      <c r="H87" s="43"/>
      <c r="I87" s="43"/>
      <c r="J87" s="46"/>
      <c r="K87" s="47"/>
      <c r="L87" s="47"/>
      <c r="M87" s="48"/>
      <c r="N87" s="49"/>
      <c r="O87" s="50"/>
    </row>
    <row r="88" spans="1:15" ht="16.5" thickBot="1" x14ac:dyDescent="0.3">
      <c r="A88" s="51"/>
      <c r="B88" s="52" t="s">
        <v>70</v>
      </c>
      <c r="C88" s="53"/>
      <c r="D88" s="54"/>
      <c r="E88" s="53"/>
      <c r="F88" s="55"/>
      <c r="G88" s="53"/>
      <c r="H88" s="53"/>
      <c r="I88" s="53"/>
      <c r="J88" s="56"/>
      <c r="K88" s="47"/>
      <c r="L88" s="57" t="s">
        <v>2</v>
      </c>
      <c r="M88" s="58"/>
      <c r="N88" s="58"/>
      <c r="O88" s="59"/>
    </row>
    <row r="89" spans="1:15" ht="16.5" thickTop="1" x14ac:dyDescent="0.25">
      <c r="A89" s="51"/>
      <c r="B89" s="52" t="s">
        <v>71</v>
      </c>
      <c r="C89" s="53"/>
      <c r="D89" s="54"/>
      <c r="E89" s="60"/>
      <c r="F89" s="61"/>
      <c r="G89" s="60"/>
      <c r="H89" s="60"/>
      <c r="I89" s="53"/>
      <c r="J89" s="56"/>
      <c r="K89" s="47"/>
      <c r="L89" s="62"/>
      <c r="M89" s="63"/>
      <c r="N89" s="63"/>
      <c r="O89" s="64"/>
    </row>
    <row r="90" spans="1:15" x14ac:dyDescent="0.25">
      <c r="A90" s="51"/>
      <c r="B90" s="52"/>
      <c r="C90" s="53"/>
      <c r="D90" s="54"/>
      <c r="E90" s="60"/>
      <c r="F90" s="61"/>
      <c r="G90" s="60"/>
      <c r="H90" s="60"/>
      <c r="I90" s="53"/>
      <c r="J90" s="56"/>
      <c r="K90" s="47"/>
      <c r="L90" s="65" t="s">
        <v>72</v>
      </c>
      <c r="M90" s="66"/>
      <c r="N90" s="67"/>
      <c r="O90" s="68">
        <f>SUM(M10:M86)</f>
        <v>1.34</v>
      </c>
    </row>
    <row r="91" spans="1:15" x14ac:dyDescent="0.25">
      <c r="A91" s="51"/>
      <c r="B91" s="69" t="s">
        <v>73</v>
      </c>
      <c r="C91" s="53"/>
      <c r="D91" s="54"/>
      <c r="E91" s="60"/>
      <c r="F91" s="61"/>
      <c r="G91" s="60"/>
      <c r="H91" s="60"/>
      <c r="I91" s="53"/>
      <c r="J91" s="56"/>
      <c r="K91" s="47"/>
      <c r="L91" s="65" t="s">
        <v>74</v>
      </c>
      <c r="M91" s="66"/>
      <c r="N91" s="67"/>
      <c r="O91" s="68">
        <f>SUM(N10:N86)</f>
        <v>64</v>
      </c>
    </row>
    <row r="92" spans="1:15" x14ac:dyDescent="0.25">
      <c r="A92" s="51"/>
      <c r="B92" s="69" t="s">
        <v>75</v>
      </c>
      <c r="C92" s="53"/>
      <c r="D92" s="54"/>
      <c r="E92" s="53"/>
      <c r="F92" s="55"/>
      <c r="G92" s="53"/>
      <c r="H92" s="53"/>
      <c r="I92" s="53"/>
      <c r="J92" s="56"/>
      <c r="K92" s="47"/>
      <c r="L92" s="65" t="s">
        <v>76</v>
      </c>
      <c r="M92" s="66"/>
      <c r="N92" s="67"/>
      <c r="O92" s="68">
        <f>SUM(O10:O86)</f>
        <v>78.449999999999989</v>
      </c>
    </row>
    <row r="93" spans="1:15" ht="16.5" thickBot="1" x14ac:dyDescent="0.3">
      <c r="A93" s="70"/>
      <c r="B93" s="113" t="s">
        <v>77</v>
      </c>
      <c r="C93" s="72"/>
      <c r="D93" s="73"/>
      <c r="E93" s="72"/>
      <c r="F93" s="74"/>
      <c r="G93" s="72"/>
      <c r="H93" s="72"/>
      <c r="I93" s="72"/>
      <c r="J93" s="75"/>
      <c r="K93" s="76"/>
      <c r="L93" s="114" t="s">
        <v>78</v>
      </c>
      <c r="M93" s="78"/>
      <c r="N93" s="78"/>
      <c r="O93" s="115">
        <f>SUM(I10:I86)</f>
        <v>16</v>
      </c>
    </row>
    <row r="94" spans="1:15" ht="16.5" thickTop="1" x14ac:dyDescent="0.25">
      <c r="A94" s="80"/>
      <c r="B94" s="17" t="s">
        <v>268</v>
      </c>
      <c r="C94" s="82"/>
      <c r="D94" s="82"/>
      <c r="E94" s="82"/>
      <c r="F94" s="83"/>
      <c r="G94" s="82"/>
      <c r="H94" s="82"/>
      <c r="I94" s="82"/>
      <c r="J94" s="84"/>
      <c r="K94" s="82"/>
      <c r="L94" s="82"/>
      <c r="M94" s="83"/>
      <c r="N94" s="83"/>
      <c r="O94" s="85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&amp;LAIRPNCS.XLS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O95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9.85546875" style="11" customWidth="1"/>
    <col min="9" max="9" width="7.42578125" style="11" customWidth="1"/>
    <col min="10" max="10" width="6.140625" style="11" customWidth="1"/>
    <col min="11" max="11" width="11.28515625" style="11" customWidth="1"/>
    <col min="12" max="12" width="52.42578125" style="11" customWidth="1"/>
    <col min="13" max="14" width="10" style="11" customWidth="1"/>
    <col min="15" max="15" width="13.85546875" style="11" customWidth="1"/>
    <col min="16" max="16" width="2.28515625" style="11" customWidth="1"/>
    <col min="17" max="16384" width="12.5703125" style="11"/>
  </cols>
  <sheetData>
    <row r="1" spans="1:15" x14ac:dyDescent="0.25">
      <c r="N1" s="12" t="s">
        <v>15</v>
      </c>
    </row>
    <row r="3" spans="1:15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</row>
    <row r="4" spans="1:15" ht="30.75" x14ac:dyDescent="0.45">
      <c r="A4" s="13" t="s">
        <v>17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</row>
    <row r="5" spans="1:15" ht="30.75" x14ac:dyDescent="0.45">
      <c r="A5" s="13" t="s">
        <v>262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</row>
    <row r="6" spans="1:15" x14ac:dyDescent="0.25">
      <c r="N6" s="12" t="s">
        <v>3</v>
      </c>
    </row>
    <row r="8" spans="1:15" x14ac:dyDescent="0.25">
      <c r="A8" s="15" t="s">
        <v>19</v>
      </c>
      <c r="B8" s="16"/>
      <c r="C8" s="17" t="s">
        <v>20</v>
      </c>
      <c r="D8" s="18"/>
      <c r="E8" s="19"/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27</v>
      </c>
      <c r="M8" s="20" t="s">
        <v>5</v>
      </c>
      <c r="N8" s="20" t="s">
        <v>28</v>
      </c>
      <c r="O8" s="20" t="s">
        <v>29</v>
      </c>
    </row>
    <row r="9" spans="1:15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2"/>
      <c r="K9" s="24" t="s">
        <v>35</v>
      </c>
      <c r="L9" s="22"/>
      <c r="M9" s="24" t="s">
        <v>10</v>
      </c>
      <c r="N9" s="24" t="s">
        <v>11</v>
      </c>
      <c r="O9" s="24" t="s">
        <v>10</v>
      </c>
    </row>
    <row r="10" spans="1:15" ht="16.5" thickTop="1" x14ac:dyDescent="0.25">
      <c r="A10" s="25"/>
      <c r="B10" s="26" t="s">
        <v>36</v>
      </c>
      <c r="C10" s="27"/>
      <c r="D10" s="28"/>
      <c r="E10" s="27"/>
      <c r="F10" s="29"/>
      <c r="G10" s="94"/>
      <c r="H10" s="116"/>
      <c r="I10" s="27"/>
      <c r="J10" s="31"/>
      <c r="K10" s="31"/>
      <c r="L10" s="27"/>
      <c r="M10" s="32"/>
      <c r="N10" s="86"/>
      <c r="O10" s="32"/>
    </row>
    <row r="11" spans="1:15" x14ac:dyDescent="0.25">
      <c r="A11" s="25">
        <f t="shared" ref="A11:A74" si="0">A10+1</f>
        <v>1</v>
      </c>
      <c r="B11" s="27"/>
      <c r="C11" s="27" t="s">
        <v>282</v>
      </c>
      <c r="D11" s="28">
        <v>31</v>
      </c>
      <c r="E11" s="28" t="s">
        <v>36</v>
      </c>
      <c r="F11" s="117">
        <v>0.28999999999999998</v>
      </c>
      <c r="G11" s="100" t="s">
        <v>263</v>
      </c>
      <c r="H11" s="118">
        <v>1992</v>
      </c>
      <c r="I11" s="28">
        <v>3</v>
      </c>
      <c r="J11" s="119" t="s">
        <v>40</v>
      </c>
      <c r="K11" s="31">
        <v>1</v>
      </c>
      <c r="L11" s="94" t="s">
        <v>264</v>
      </c>
      <c r="M11" s="32">
        <f>IF(F11*I11&gt;0,F11*I11," ")</f>
        <v>0.86999999999999988</v>
      </c>
      <c r="N11" s="86">
        <f t="shared" ref="N11:N73" si="1">M11</f>
        <v>0.86999999999999988</v>
      </c>
      <c r="O11" s="86">
        <v>9</v>
      </c>
    </row>
    <row r="12" spans="1:15" x14ac:dyDescent="0.25">
      <c r="A12" s="25">
        <f t="shared" si="0"/>
        <v>2</v>
      </c>
      <c r="B12" s="27"/>
      <c r="C12" s="27" t="s">
        <v>282</v>
      </c>
      <c r="D12" s="28">
        <v>31</v>
      </c>
      <c r="E12" s="100" t="s">
        <v>88</v>
      </c>
      <c r="F12" s="117">
        <v>0.28999999999999998</v>
      </c>
      <c r="G12" s="100" t="s">
        <v>263</v>
      </c>
      <c r="H12" s="118">
        <v>1992</v>
      </c>
      <c r="I12" s="28">
        <v>3</v>
      </c>
      <c r="J12" s="119" t="s">
        <v>40</v>
      </c>
      <c r="K12" s="31">
        <v>1</v>
      </c>
      <c r="L12" s="94" t="s">
        <v>127</v>
      </c>
      <c r="M12" s="32">
        <f t="shared" ref="M12:M75" si="2">IF(F12*I12&gt;0,F12*I12," ")</f>
        <v>0.86999999999999988</v>
      </c>
      <c r="N12" s="86">
        <f t="shared" si="1"/>
        <v>0.86999999999999988</v>
      </c>
      <c r="O12" s="86">
        <v>9</v>
      </c>
    </row>
    <row r="13" spans="1:15" x14ac:dyDescent="0.25">
      <c r="A13" s="25">
        <f t="shared" si="0"/>
        <v>3</v>
      </c>
      <c r="B13" s="27"/>
      <c r="C13" s="27" t="s">
        <v>282</v>
      </c>
      <c r="D13" s="28">
        <v>32</v>
      </c>
      <c r="E13" s="28" t="s">
        <v>36</v>
      </c>
      <c r="F13" s="117">
        <v>0.28999999999999998</v>
      </c>
      <c r="G13" s="100" t="s">
        <v>263</v>
      </c>
      <c r="H13" s="118">
        <v>1994</v>
      </c>
      <c r="I13" s="28">
        <v>5</v>
      </c>
      <c r="J13" s="119" t="s">
        <v>38</v>
      </c>
      <c r="K13" s="31" t="s">
        <v>265</v>
      </c>
      <c r="L13" s="31" t="s">
        <v>36</v>
      </c>
      <c r="M13" s="32">
        <f t="shared" si="2"/>
        <v>1.45</v>
      </c>
      <c r="N13" s="86">
        <f t="shared" si="1"/>
        <v>1.45</v>
      </c>
      <c r="O13" s="86">
        <v>8</v>
      </c>
    </row>
    <row r="14" spans="1:15" x14ac:dyDescent="0.25">
      <c r="A14" s="25">
        <f t="shared" si="0"/>
        <v>4</v>
      </c>
      <c r="B14" s="27"/>
      <c r="C14" s="27" t="s">
        <v>282</v>
      </c>
      <c r="D14" s="28">
        <v>33</v>
      </c>
      <c r="E14" s="28" t="s">
        <v>36</v>
      </c>
      <c r="F14" s="117">
        <v>0.32</v>
      </c>
      <c r="G14" s="100" t="s">
        <v>263</v>
      </c>
      <c r="H14" s="118">
        <v>1996</v>
      </c>
      <c r="I14" s="28">
        <v>5</v>
      </c>
      <c r="J14" s="119" t="s">
        <v>38</v>
      </c>
      <c r="K14" s="31">
        <v>11</v>
      </c>
      <c r="L14" s="31" t="s">
        <v>36</v>
      </c>
      <c r="M14" s="32">
        <f t="shared" si="2"/>
        <v>1.6</v>
      </c>
      <c r="N14" s="86">
        <f t="shared" si="1"/>
        <v>1.6</v>
      </c>
      <c r="O14" s="86">
        <v>8</v>
      </c>
    </row>
    <row r="15" spans="1:15" x14ac:dyDescent="0.25">
      <c r="A15" s="25">
        <f t="shared" si="0"/>
        <v>5</v>
      </c>
      <c r="B15" s="27"/>
      <c r="C15" s="27"/>
      <c r="D15" s="28" t="s">
        <v>36</v>
      </c>
      <c r="E15" s="28" t="s">
        <v>36</v>
      </c>
      <c r="F15" s="117" t="s">
        <v>36</v>
      </c>
      <c r="G15" s="28" t="s">
        <v>36</v>
      </c>
      <c r="H15" s="118"/>
      <c r="I15" s="28" t="s">
        <v>36</v>
      </c>
      <c r="J15" s="119" t="s">
        <v>36</v>
      </c>
      <c r="K15" s="31" t="s">
        <v>36</v>
      </c>
      <c r="L15" s="31" t="s">
        <v>36</v>
      </c>
      <c r="M15" s="32" t="str">
        <f t="shared" si="2"/>
        <v xml:space="preserve"> </v>
      </c>
      <c r="N15" s="86" t="str">
        <f t="shared" si="1"/>
        <v xml:space="preserve"> </v>
      </c>
      <c r="O15" s="86" t="s">
        <v>36</v>
      </c>
    </row>
    <row r="16" spans="1:15" x14ac:dyDescent="0.25">
      <c r="A16" s="25">
        <f t="shared" si="0"/>
        <v>6</v>
      </c>
      <c r="B16" s="27"/>
      <c r="C16" s="27"/>
      <c r="D16" s="28" t="s">
        <v>36</v>
      </c>
      <c r="E16" s="28" t="s">
        <v>36</v>
      </c>
      <c r="F16" s="117" t="s">
        <v>36</v>
      </c>
      <c r="G16" s="28" t="s">
        <v>36</v>
      </c>
      <c r="H16" s="118"/>
      <c r="I16" s="28" t="s">
        <v>36</v>
      </c>
      <c r="J16" s="119" t="s">
        <v>36</v>
      </c>
      <c r="K16" s="31" t="s">
        <v>36</v>
      </c>
      <c r="L16" s="31" t="s">
        <v>36</v>
      </c>
      <c r="M16" s="32" t="str">
        <f t="shared" si="2"/>
        <v xml:space="preserve"> </v>
      </c>
      <c r="N16" s="86" t="str">
        <f t="shared" si="1"/>
        <v xml:space="preserve"> </v>
      </c>
      <c r="O16" s="86" t="s">
        <v>36</v>
      </c>
    </row>
    <row r="17" spans="1:15" x14ac:dyDescent="0.25">
      <c r="A17" s="25">
        <f t="shared" si="0"/>
        <v>7</v>
      </c>
      <c r="B17" s="27"/>
      <c r="C17" s="27"/>
      <c r="D17" s="28" t="s">
        <v>36</v>
      </c>
      <c r="E17" s="28" t="s">
        <v>36</v>
      </c>
      <c r="F17" s="117" t="s">
        <v>36</v>
      </c>
      <c r="G17" s="28" t="s">
        <v>36</v>
      </c>
      <c r="H17" s="118"/>
      <c r="I17" s="28" t="s">
        <v>36</v>
      </c>
      <c r="J17" s="119" t="s">
        <v>36</v>
      </c>
      <c r="K17" s="31" t="s">
        <v>36</v>
      </c>
      <c r="L17" s="31" t="s">
        <v>36</v>
      </c>
      <c r="M17" s="32" t="str">
        <f t="shared" si="2"/>
        <v xml:space="preserve"> </v>
      </c>
      <c r="N17" s="86" t="str">
        <f t="shared" si="1"/>
        <v xml:space="preserve"> </v>
      </c>
      <c r="O17" s="86" t="s">
        <v>36</v>
      </c>
    </row>
    <row r="18" spans="1:15" x14ac:dyDescent="0.25">
      <c r="A18" s="25">
        <f t="shared" si="0"/>
        <v>8</v>
      </c>
      <c r="B18" s="27"/>
      <c r="C18" s="27"/>
      <c r="D18" s="28" t="s">
        <v>36</v>
      </c>
      <c r="E18" s="28" t="s">
        <v>36</v>
      </c>
      <c r="F18" s="117" t="s">
        <v>36</v>
      </c>
      <c r="G18" s="28" t="s">
        <v>36</v>
      </c>
      <c r="H18" s="118"/>
      <c r="I18" s="28" t="s">
        <v>36</v>
      </c>
      <c r="J18" s="119" t="s">
        <v>36</v>
      </c>
      <c r="K18" s="31" t="s">
        <v>36</v>
      </c>
      <c r="L18" s="31" t="s">
        <v>36</v>
      </c>
      <c r="M18" s="32" t="str">
        <f t="shared" si="2"/>
        <v xml:space="preserve"> </v>
      </c>
      <c r="N18" s="86" t="str">
        <f t="shared" si="1"/>
        <v xml:space="preserve"> </v>
      </c>
      <c r="O18" s="86" t="s">
        <v>36</v>
      </c>
    </row>
    <row r="19" spans="1:15" x14ac:dyDescent="0.25">
      <c r="A19" s="25">
        <f t="shared" si="0"/>
        <v>9</v>
      </c>
      <c r="B19" s="27"/>
      <c r="C19" s="27"/>
      <c r="D19" s="28" t="s">
        <v>36</v>
      </c>
      <c r="E19" s="28" t="s">
        <v>36</v>
      </c>
      <c r="F19" s="117" t="s">
        <v>36</v>
      </c>
      <c r="G19" s="28" t="s">
        <v>36</v>
      </c>
      <c r="H19" s="118"/>
      <c r="I19" s="28" t="s">
        <v>36</v>
      </c>
      <c r="J19" s="119" t="s">
        <v>36</v>
      </c>
      <c r="K19" s="31" t="s">
        <v>36</v>
      </c>
      <c r="L19" s="31" t="s">
        <v>36</v>
      </c>
      <c r="M19" s="32" t="str">
        <f t="shared" si="2"/>
        <v xml:space="preserve"> </v>
      </c>
      <c r="N19" s="86" t="str">
        <f t="shared" si="1"/>
        <v xml:space="preserve"> </v>
      </c>
      <c r="O19" s="86" t="s">
        <v>36</v>
      </c>
    </row>
    <row r="20" spans="1:15" x14ac:dyDescent="0.25">
      <c r="A20" s="25">
        <f t="shared" si="0"/>
        <v>10</v>
      </c>
      <c r="B20" s="27"/>
      <c r="C20" s="27"/>
      <c r="D20" s="28" t="s">
        <v>36</v>
      </c>
      <c r="E20" s="28" t="s">
        <v>36</v>
      </c>
      <c r="F20" s="117" t="s">
        <v>36</v>
      </c>
      <c r="G20" s="28" t="s">
        <v>36</v>
      </c>
      <c r="H20" s="118"/>
      <c r="I20" s="28" t="s">
        <v>36</v>
      </c>
      <c r="J20" s="119" t="s">
        <v>36</v>
      </c>
      <c r="K20" s="31" t="s">
        <v>36</v>
      </c>
      <c r="L20" s="31" t="s">
        <v>36</v>
      </c>
      <c r="M20" s="32" t="str">
        <f t="shared" si="2"/>
        <v xml:space="preserve"> </v>
      </c>
      <c r="N20" s="86" t="str">
        <f t="shared" si="1"/>
        <v xml:space="preserve"> </v>
      </c>
      <c r="O20" s="86" t="s">
        <v>36</v>
      </c>
    </row>
    <row r="21" spans="1:15" x14ac:dyDescent="0.25">
      <c r="A21" s="25">
        <f t="shared" si="0"/>
        <v>11</v>
      </c>
      <c r="B21" s="27"/>
      <c r="C21" s="27"/>
      <c r="D21" s="28" t="s">
        <v>36</v>
      </c>
      <c r="E21" s="28" t="s">
        <v>36</v>
      </c>
      <c r="F21" s="117" t="s">
        <v>36</v>
      </c>
      <c r="G21" s="28" t="s">
        <v>36</v>
      </c>
      <c r="H21" s="118"/>
      <c r="I21" s="28" t="s">
        <v>36</v>
      </c>
      <c r="J21" s="119" t="s">
        <v>36</v>
      </c>
      <c r="K21" s="31" t="s">
        <v>36</v>
      </c>
      <c r="L21" s="31" t="s">
        <v>36</v>
      </c>
      <c r="M21" s="32" t="str">
        <f t="shared" si="2"/>
        <v xml:space="preserve"> </v>
      </c>
      <c r="N21" s="86" t="str">
        <f t="shared" si="1"/>
        <v xml:space="preserve"> </v>
      </c>
      <c r="O21" s="86" t="s">
        <v>36</v>
      </c>
    </row>
    <row r="22" spans="1:15" x14ac:dyDescent="0.25">
      <c r="A22" s="25">
        <f t="shared" si="0"/>
        <v>12</v>
      </c>
      <c r="B22" s="27"/>
      <c r="C22" s="27"/>
      <c r="D22" s="28" t="s">
        <v>36</v>
      </c>
      <c r="E22" s="28" t="s">
        <v>36</v>
      </c>
      <c r="F22" s="117" t="s">
        <v>36</v>
      </c>
      <c r="G22" s="28" t="s">
        <v>36</v>
      </c>
      <c r="H22" s="118"/>
      <c r="I22" s="28" t="s">
        <v>36</v>
      </c>
      <c r="J22" s="119" t="s">
        <v>36</v>
      </c>
      <c r="K22" s="31" t="s">
        <v>36</v>
      </c>
      <c r="L22" s="31" t="s">
        <v>36</v>
      </c>
      <c r="M22" s="32" t="str">
        <f t="shared" si="2"/>
        <v xml:space="preserve"> </v>
      </c>
      <c r="N22" s="86" t="str">
        <f t="shared" si="1"/>
        <v xml:space="preserve"> </v>
      </c>
      <c r="O22" s="86" t="s">
        <v>36</v>
      </c>
    </row>
    <row r="23" spans="1:15" x14ac:dyDescent="0.25">
      <c r="A23" s="25">
        <f t="shared" si="0"/>
        <v>13</v>
      </c>
      <c r="B23" s="27"/>
      <c r="C23" s="27"/>
      <c r="D23" s="28" t="s">
        <v>36</v>
      </c>
      <c r="E23" s="28" t="s">
        <v>36</v>
      </c>
      <c r="F23" s="117" t="s">
        <v>36</v>
      </c>
      <c r="G23" s="28" t="s">
        <v>36</v>
      </c>
      <c r="H23" s="118"/>
      <c r="I23" s="28" t="s">
        <v>36</v>
      </c>
      <c r="J23" s="119" t="s">
        <v>36</v>
      </c>
      <c r="K23" s="31" t="s">
        <v>36</v>
      </c>
      <c r="L23" s="31" t="s">
        <v>36</v>
      </c>
      <c r="M23" s="32" t="str">
        <f t="shared" si="2"/>
        <v xml:space="preserve"> </v>
      </c>
      <c r="N23" s="86" t="str">
        <f t="shared" si="1"/>
        <v xml:space="preserve"> </v>
      </c>
      <c r="O23" s="86" t="s">
        <v>36</v>
      </c>
    </row>
    <row r="24" spans="1:15" x14ac:dyDescent="0.25">
      <c r="A24" s="25">
        <f t="shared" si="0"/>
        <v>14</v>
      </c>
      <c r="B24" s="27"/>
      <c r="C24" s="27"/>
      <c r="D24" s="28" t="s">
        <v>36</v>
      </c>
      <c r="E24" s="28" t="s">
        <v>36</v>
      </c>
      <c r="F24" s="117" t="s">
        <v>36</v>
      </c>
      <c r="G24" s="28" t="s">
        <v>36</v>
      </c>
      <c r="H24" s="118"/>
      <c r="I24" s="28" t="s">
        <v>36</v>
      </c>
      <c r="J24" s="119" t="s">
        <v>36</v>
      </c>
      <c r="K24" s="31" t="s">
        <v>36</v>
      </c>
      <c r="L24" s="31" t="s">
        <v>36</v>
      </c>
      <c r="M24" s="32" t="str">
        <f t="shared" si="2"/>
        <v xml:space="preserve"> </v>
      </c>
      <c r="N24" s="86" t="str">
        <f t="shared" si="1"/>
        <v xml:space="preserve"> </v>
      </c>
      <c r="O24" s="86" t="s">
        <v>36</v>
      </c>
    </row>
    <row r="25" spans="1:15" x14ac:dyDescent="0.25">
      <c r="A25" s="25">
        <f t="shared" si="0"/>
        <v>15</v>
      </c>
      <c r="B25" s="27"/>
      <c r="C25" s="27"/>
      <c r="D25" s="28" t="s">
        <v>36</v>
      </c>
      <c r="E25" s="28" t="s">
        <v>36</v>
      </c>
      <c r="F25" s="117" t="s">
        <v>36</v>
      </c>
      <c r="G25" s="28" t="s">
        <v>36</v>
      </c>
      <c r="H25" s="118"/>
      <c r="I25" s="28" t="s">
        <v>36</v>
      </c>
      <c r="J25" s="119" t="s">
        <v>36</v>
      </c>
      <c r="K25" s="31" t="s">
        <v>36</v>
      </c>
      <c r="L25" s="31" t="s">
        <v>36</v>
      </c>
      <c r="M25" s="32" t="str">
        <f t="shared" si="2"/>
        <v xml:space="preserve"> </v>
      </c>
      <c r="N25" s="86" t="str">
        <f t="shared" si="1"/>
        <v xml:space="preserve"> </v>
      </c>
      <c r="O25" s="86" t="s">
        <v>36</v>
      </c>
    </row>
    <row r="26" spans="1:15" x14ac:dyDescent="0.25">
      <c r="A26" s="25">
        <f t="shared" si="0"/>
        <v>16</v>
      </c>
      <c r="B26" s="27"/>
      <c r="C26" s="27"/>
      <c r="D26" s="28" t="s">
        <v>36</v>
      </c>
      <c r="E26" s="28" t="s">
        <v>36</v>
      </c>
      <c r="F26" s="117" t="s">
        <v>36</v>
      </c>
      <c r="G26" s="28" t="s">
        <v>36</v>
      </c>
      <c r="H26" s="118"/>
      <c r="I26" s="28" t="s">
        <v>36</v>
      </c>
      <c r="J26" s="119" t="s">
        <v>36</v>
      </c>
      <c r="K26" s="31" t="s">
        <v>36</v>
      </c>
      <c r="L26" s="31" t="s">
        <v>36</v>
      </c>
      <c r="M26" s="32" t="str">
        <f t="shared" si="2"/>
        <v xml:space="preserve"> </v>
      </c>
      <c r="N26" s="86" t="str">
        <f t="shared" si="1"/>
        <v xml:space="preserve"> </v>
      </c>
      <c r="O26" s="86" t="s">
        <v>36</v>
      </c>
    </row>
    <row r="27" spans="1:15" x14ac:dyDescent="0.25">
      <c r="A27" s="25">
        <f t="shared" si="0"/>
        <v>17</v>
      </c>
      <c r="B27" s="27"/>
      <c r="C27" s="27"/>
      <c r="D27" s="28" t="s">
        <v>36</v>
      </c>
      <c r="E27" s="28" t="s">
        <v>36</v>
      </c>
      <c r="F27" s="117" t="s">
        <v>36</v>
      </c>
      <c r="G27" s="28" t="s">
        <v>36</v>
      </c>
      <c r="H27" s="118"/>
      <c r="I27" s="28" t="s">
        <v>36</v>
      </c>
      <c r="J27" s="119" t="s">
        <v>36</v>
      </c>
      <c r="K27" s="31" t="s">
        <v>36</v>
      </c>
      <c r="L27" s="31" t="s">
        <v>36</v>
      </c>
      <c r="M27" s="32" t="str">
        <f t="shared" si="2"/>
        <v xml:space="preserve"> </v>
      </c>
      <c r="N27" s="86" t="str">
        <f t="shared" si="1"/>
        <v xml:space="preserve"> </v>
      </c>
      <c r="O27" s="86" t="s">
        <v>36</v>
      </c>
    </row>
    <row r="28" spans="1:15" x14ac:dyDescent="0.25">
      <c r="A28" s="25">
        <f t="shared" si="0"/>
        <v>18</v>
      </c>
      <c r="B28" s="27"/>
      <c r="C28" s="27"/>
      <c r="D28" s="28" t="s">
        <v>36</v>
      </c>
      <c r="E28" s="28" t="s">
        <v>36</v>
      </c>
      <c r="F28" s="117" t="s">
        <v>36</v>
      </c>
      <c r="G28" s="28" t="s">
        <v>36</v>
      </c>
      <c r="H28" s="118"/>
      <c r="I28" s="28" t="s">
        <v>36</v>
      </c>
      <c r="J28" s="119" t="s">
        <v>36</v>
      </c>
      <c r="K28" s="31" t="s">
        <v>36</v>
      </c>
      <c r="L28" s="31" t="s">
        <v>36</v>
      </c>
      <c r="M28" s="32" t="str">
        <f t="shared" si="2"/>
        <v xml:space="preserve"> </v>
      </c>
      <c r="N28" s="86" t="str">
        <f t="shared" si="1"/>
        <v xml:space="preserve"> </v>
      </c>
      <c r="O28" s="86" t="s">
        <v>36</v>
      </c>
    </row>
    <row r="29" spans="1:15" x14ac:dyDescent="0.25">
      <c r="A29" s="25">
        <f t="shared" si="0"/>
        <v>19</v>
      </c>
      <c r="B29" s="27"/>
      <c r="C29" s="27"/>
      <c r="D29" s="28" t="s">
        <v>36</v>
      </c>
      <c r="E29" s="28" t="s">
        <v>36</v>
      </c>
      <c r="F29" s="117" t="s">
        <v>36</v>
      </c>
      <c r="G29" s="28" t="s">
        <v>36</v>
      </c>
      <c r="H29" s="118"/>
      <c r="I29" s="28" t="s">
        <v>36</v>
      </c>
      <c r="J29" s="119" t="s">
        <v>36</v>
      </c>
      <c r="K29" s="31" t="s">
        <v>36</v>
      </c>
      <c r="L29" s="31" t="s">
        <v>36</v>
      </c>
      <c r="M29" s="32" t="str">
        <f t="shared" si="2"/>
        <v xml:space="preserve"> </v>
      </c>
      <c r="N29" s="86" t="str">
        <f t="shared" si="1"/>
        <v xml:space="preserve"> </v>
      </c>
      <c r="O29" s="86" t="s">
        <v>36</v>
      </c>
    </row>
    <row r="30" spans="1:15" x14ac:dyDescent="0.25">
      <c r="A30" s="25">
        <f t="shared" si="0"/>
        <v>20</v>
      </c>
      <c r="B30" s="27"/>
      <c r="C30" s="27"/>
      <c r="D30" s="28" t="s">
        <v>36</v>
      </c>
      <c r="E30" s="28" t="s">
        <v>36</v>
      </c>
      <c r="F30" s="117" t="s">
        <v>36</v>
      </c>
      <c r="G30" s="28" t="s">
        <v>36</v>
      </c>
      <c r="H30" s="118"/>
      <c r="I30" s="28" t="s">
        <v>36</v>
      </c>
      <c r="J30" s="119" t="s">
        <v>36</v>
      </c>
      <c r="K30" s="31" t="s">
        <v>36</v>
      </c>
      <c r="L30" s="31" t="s">
        <v>36</v>
      </c>
      <c r="M30" s="32" t="str">
        <f t="shared" si="2"/>
        <v xml:space="preserve"> </v>
      </c>
      <c r="N30" s="86" t="str">
        <f t="shared" si="1"/>
        <v xml:space="preserve"> </v>
      </c>
      <c r="O30" s="86" t="s">
        <v>36</v>
      </c>
    </row>
    <row r="31" spans="1:15" x14ac:dyDescent="0.25">
      <c r="A31" s="25">
        <f t="shared" si="0"/>
        <v>21</v>
      </c>
      <c r="B31" s="27"/>
      <c r="C31" s="27"/>
      <c r="D31" s="28" t="s">
        <v>36</v>
      </c>
      <c r="E31" s="28" t="s">
        <v>36</v>
      </c>
      <c r="F31" s="117" t="s">
        <v>36</v>
      </c>
      <c r="G31" s="28" t="s">
        <v>36</v>
      </c>
      <c r="H31" s="118"/>
      <c r="I31" s="28" t="s">
        <v>36</v>
      </c>
      <c r="J31" s="119" t="s">
        <v>36</v>
      </c>
      <c r="K31" s="31" t="s">
        <v>36</v>
      </c>
      <c r="L31" s="31" t="s">
        <v>36</v>
      </c>
      <c r="M31" s="32" t="str">
        <f t="shared" si="2"/>
        <v xml:space="preserve"> </v>
      </c>
      <c r="N31" s="86" t="str">
        <f t="shared" si="1"/>
        <v xml:space="preserve"> </v>
      </c>
      <c r="O31" s="86" t="s">
        <v>36</v>
      </c>
    </row>
    <row r="32" spans="1:15" x14ac:dyDescent="0.25">
      <c r="A32" s="25">
        <f t="shared" si="0"/>
        <v>22</v>
      </c>
      <c r="B32" s="27"/>
      <c r="C32" s="27"/>
      <c r="D32" s="28" t="s">
        <v>36</v>
      </c>
      <c r="E32" s="28" t="s">
        <v>36</v>
      </c>
      <c r="F32" s="117" t="s">
        <v>36</v>
      </c>
      <c r="G32" s="28" t="s">
        <v>36</v>
      </c>
      <c r="H32" s="118"/>
      <c r="I32" s="28" t="s">
        <v>36</v>
      </c>
      <c r="J32" s="119" t="s">
        <v>36</v>
      </c>
      <c r="K32" s="31" t="s">
        <v>36</v>
      </c>
      <c r="L32" s="31" t="s">
        <v>36</v>
      </c>
      <c r="M32" s="32" t="str">
        <f t="shared" si="2"/>
        <v xml:space="preserve"> </v>
      </c>
      <c r="N32" s="86" t="str">
        <f t="shared" si="1"/>
        <v xml:space="preserve"> </v>
      </c>
      <c r="O32" s="86" t="s">
        <v>36</v>
      </c>
    </row>
    <row r="33" spans="1:15" x14ac:dyDescent="0.25">
      <c r="A33" s="25">
        <f t="shared" si="0"/>
        <v>23</v>
      </c>
      <c r="B33" s="27"/>
      <c r="C33" s="27"/>
      <c r="D33" s="28" t="s">
        <v>36</v>
      </c>
      <c r="E33" s="28" t="s">
        <v>36</v>
      </c>
      <c r="F33" s="117" t="s">
        <v>36</v>
      </c>
      <c r="G33" s="28" t="s">
        <v>36</v>
      </c>
      <c r="H33" s="118"/>
      <c r="I33" s="28" t="s">
        <v>36</v>
      </c>
      <c r="J33" s="119" t="s">
        <v>36</v>
      </c>
      <c r="K33" s="31" t="s">
        <v>36</v>
      </c>
      <c r="L33" s="31" t="s">
        <v>36</v>
      </c>
      <c r="M33" s="32" t="str">
        <f t="shared" si="2"/>
        <v xml:space="preserve"> </v>
      </c>
      <c r="N33" s="86" t="str">
        <f t="shared" si="1"/>
        <v xml:space="preserve"> </v>
      </c>
      <c r="O33" s="86" t="s">
        <v>36</v>
      </c>
    </row>
    <row r="34" spans="1:15" x14ac:dyDescent="0.25">
      <c r="A34" s="25">
        <f t="shared" si="0"/>
        <v>24</v>
      </c>
      <c r="B34" s="27"/>
      <c r="C34" s="27"/>
      <c r="D34" s="28" t="s">
        <v>36</v>
      </c>
      <c r="E34" s="28" t="s">
        <v>36</v>
      </c>
      <c r="F34" s="117" t="s">
        <v>36</v>
      </c>
      <c r="G34" s="28" t="s">
        <v>36</v>
      </c>
      <c r="H34" s="118"/>
      <c r="I34" s="28" t="s">
        <v>36</v>
      </c>
      <c r="J34" s="119" t="s">
        <v>36</v>
      </c>
      <c r="K34" s="31" t="s">
        <v>36</v>
      </c>
      <c r="L34" s="31" t="s">
        <v>36</v>
      </c>
      <c r="M34" s="32" t="str">
        <f t="shared" si="2"/>
        <v xml:space="preserve"> </v>
      </c>
      <c r="N34" s="86" t="str">
        <f t="shared" si="1"/>
        <v xml:space="preserve"> </v>
      </c>
      <c r="O34" s="86" t="s">
        <v>36</v>
      </c>
    </row>
    <row r="35" spans="1:15" x14ac:dyDescent="0.25">
      <c r="A35" s="25">
        <f t="shared" si="0"/>
        <v>25</v>
      </c>
      <c r="B35" s="27"/>
      <c r="C35" s="27"/>
      <c r="D35" s="28" t="s">
        <v>36</v>
      </c>
      <c r="E35" s="28" t="s">
        <v>36</v>
      </c>
      <c r="F35" s="117" t="s">
        <v>36</v>
      </c>
      <c r="G35" s="28" t="s">
        <v>36</v>
      </c>
      <c r="H35" s="118"/>
      <c r="I35" s="28" t="s">
        <v>36</v>
      </c>
      <c r="J35" s="119" t="s">
        <v>36</v>
      </c>
      <c r="K35" s="31" t="s">
        <v>36</v>
      </c>
      <c r="L35" s="31" t="s">
        <v>36</v>
      </c>
      <c r="M35" s="32" t="str">
        <f t="shared" si="2"/>
        <v xml:space="preserve"> </v>
      </c>
      <c r="N35" s="86" t="str">
        <f t="shared" si="1"/>
        <v xml:space="preserve"> </v>
      </c>
      <c r="O35" s="86" t="s">
        <v>36</v>
      </c>
    </row>
    <row r="36" spans="1:15" x14ac:dyDescent="0.25">
      <c r="A36" s="25">
        <f t="shared" si="0"/>
        <v>26</v>
      </c>
      <c r="B36" s="27"/>
      <c r="C36" s="27"/>
      <c r="D36" s="28" t="s">
        <v>36</v>
      </c>
      <c r="E36" s="28" t="s">
        <v>36</v>
      </c>
      <c r="F36" s="117" t="s">
        <v>36</v>
      </c>
      <c r="G36" s="28" t="s">
        <v>36</v>
      </c>
      <c r="H36" s="118"/>
      <c r="I36" s="28" t="s">
        <v>36</v>
      </c>
      <c r="J36" s="119" t="s">
        <v>36</v>
      </c>
      <c r="K36" s="31" t="s">
        <v>36</v>
      </c>
      <c r="L36" s="31" t="s">
        <v>36</v>
      </c>
      <c r="M36" s="32" t="str">
        <f t="shared" si="2"/>
        <v xml:space="preserve"> </v>
      </c>
      <c r="N36" s="86" t="str">
        <f t="shared" si="1"/>
        <v xml:space="preserve"> </v>
      </c>
      <c r="O36" s="86" t="s">
        <v>36</v>
      </c>
    </row>
    <row r="37" spans="1:15" x14ac:dyDescent="0.25">
      <c r="A37" s="25">
        <f t="shared" si="0"/>
        <v>27</v>
      </c>
      <c r="B37" s="27"/>
      <c r="C37" s="27"/>
      <c r="D37" s="28"/>
      <c r="E37" s="34"/>
      <c r="F37" s="29" t="s">
        <v>36</v>
      </c>
      <c r="G37" s="94"/>
      <c r="H37" s="118"/>
      <c r="I37" s="27" t="s">
        <v>36</v>
      </c>
      <c r="J37" s="31"/>
      <c r="K37" s="31" t="s">
        <v>36</v>
      </c>
      <c r="L37" s="31" t="s">
        <v>36</v>
      </c>
      <c r="M37" s="32" t="str">
        <f t="shared" si="2"/>
        <v xml:space="preserve"> </v>
      </c>
      <c r="N37" s="86" t="str">
        <f t="shared" si="1"/>
        <v xml:space="preserve"> </v>
      </c>
      <c r="O37" s="86" t="s">
        <v>36</v>
      </c>
    </row>
    <row r="38" spans="1:15" x14ac:dyDescent="0.25">
      <c r="A38" s="25">
        <f t="shared" si="0"/>
        <v>28</v>
      </c>
      <c r="B38" s="27"/>
      <c r="C38" s="27"/>
      <c r="D38" s="28"/>
      <c r="E38" s="34"/>
      <c r="F38" s="29" t="s">
        <v>36</v>
      </c>
      <c r="G38" s="94"/>
      <c r="H38" s="118"/>
      <c r="I38" s="27" t="s">
        <v>36</v>
      </c>
      <c r="J38" s="31"/>
      <c r="K38" s="31" t="s">
        <v>36</v>
      </c>
      <c r="L38" s="31" t="s">
        <v>36</v>
      </c>
      <c r="M38" s="32" t="str">
        <f t="shared" si="2"/>
        <v xml:space="preserve"> </v>
      </c>
      <c r="N38" s="86" t="str">
        <f t="shared" si="1"/>
        <v xml:space="preserve"> </v>
      </c>
      <c r="O38" s="86" t="s">
        <v>36</v>
      </c>
    </row>
    <row r="39" spans="1:15" x14ac:dyDescent="0.25">
      <c r="A39" s="25">
        <f t="shared" si="0"/>
        <v>29</v>
      </c>
      <c r="B39" s="27"/>
      <c r="C39" s="27"/>
      <c r="D39" s="28"/>
      <c r="E39" s="34"/>
      <c r="F39" s="29" t="s">
        <v>36</v>
      </c>
      <c r="G39" s="94"/>
      <c r="H39" s="118"/>
      <c r="I39" s="27" t="s">
        <v>36</v>
      </c>
      <c r="J39" s="31"/>
      <c r="K39" s="31" t="s">
        <v>36</v>
      </c>
      <c r="L39" s="27" t="s">
        <v>36</v>
      </c>
      <c r="M39" s="32" t="str">
        <f t="shared" si="2"/>
        <v xml:space="preserve"> </v>
      </c>
      <c r="N39" s="86" t="str">
        <f t="shared" si="1"/>
        <v xml:space="preserve"> </v>
      </c>
      <c r="O39" s="86" t="s">
        <v>36</v>
      </c>
    </row>
    <row r="40" spans="1:15" x14ac:dyDescent="0.25">
      <c r="A40" s="25">
        <f t="shared" si="0"/>
        <v>30</v>
      </c>
      <c r="B40" s="27"/>
      <c r="C40" s="27"/>
      <c r="D40" s="28"/>
      <c r="E40" s="34"/>
      <c r="F40" s="29" t="s">
        <v>36</v>
      </c>
      <c r="G40" s="94"/>
      <c r="H40" s="118"/>
      <c r="I40" s="27" t="s">
        <v>36</v>
      </c>
      <c r="J40" s="31"/>
      <c r="K40" s="31" t="s">
        <v>36</v>
      </c>
      <c r="L40" s="27" t="s">
        <v>36</v>
      </c>
      <c r="M40" s="32" t="str">
        <f t="shared" si="2"/>
        <v xml:space="preserve"> </v>
      </c>
      <c r="N40" s="86" t="str">
        <f t="shared" si="1"/>
        <v xml:space="preserve"> </v>
      </c>
      <c r="O40" s="86" t="s">
        <v>36</v>
      </c>
    </row>
    <row r="41" spans="1:15" x14ac:dyDescent="0.25">
      <c r="A41" s="25">
        <f t="shared" si="0"/>
        <v>31</v>
      </c>
      <c r="B41" s="27"/>
      <c r="C41" s="27"/>
      <c r="D41" s="28"/>
      <c r="E41" s="34"/>
      <c r="F41" s="29" t="s">
        <v>36</v>
      </c>
      <c r="G41" s="94"/>
      <c r="H41" s="118"/>
      <c r="I41" s="27" t="s">
        <v>36</v>
      </c>
      <c r="J41" s="31"/>
      <c r="K41" s="31" t="s">
        <v>36</v>
      </c>
      <c r="L41" s="27" t="s">
        <v>36</v>
      </c>
      <c r="M41" s="32" t="str">
        <f t="shared" si="2"/>
        <v xml:space="preserve"> </v>
      </c>
      <c r="N41" s="86" t="str">
        <f t="shared" si="1"/>
        <v xml:space="preserve"> </v>
      </c>
      <c r="O41" s="86" t="s">
        <v>36</v>
      </c>
    </row>
    <row r="42" spans="1:15" x14ac:dyDescent="0.25">
      <c r="A42" s="25">
        <f t="shared" si="0"/>
        <v>32</v>
      </c>
      <c r="B42" s="27"/>
      <c r="C42" s="27"/>
      <c r="D42" s="28"/>
      <c r="E42" s="34"/>
      <c r="F42" s="29" t="s">
        <v>36</v>
      </c>
      <c r="G42" s="94"/>
      <c r="H42" s="118"/>
      <c r="I42" s="27" t="s">
        <v>36</v>
      </c>
      <c r="J42" s="31"/>
      <c r="K42" s="31" t="s">
        <v>36</v>
      </c>
      <c r="L42" s="27" t="s">
        <v>36</v>
      </c>
      <c r="M42" s="32" t="str">
        <f t="shared" si="2"/>
        <v xml:space="preserve"> </v>
      </c>
      <c r="N42" s="86" t="str">
        <f t="shared" si="1"/>
        <v xml:space="preserve"> </v>
      </c>
      <c r="O42" s="86" t="s">
        <v>36</v>
      </c>
    </row>
    <row r="43" spans="1:15" x14ac:dyDescent="0.25">
      <c r="A43" s="25">
        <f t="shared" si="0"/>
        <v>33</v>
      </c>
      <c r="B43" s="27"/>
      <c r="C43" s="27"/>
      <c r="D43" s="28"/>
      <c r="E43" s="34"/>
      <c r="F43" s="29" t="s">
        <v>36</v>
      </c>
      <c r="G43" s="94"/>
      <c r="H43" s="118"/>
      <c r="I43" s="27" t="s">
        <v>36</v>
      </c>
      <c r="J43" s="31"/>
      <c r="K43" s="31" t="s">
        <v>36</v>
      </c>
      <c r="L43" s="27" t="s">
        <v>36</v>
      </c>
      <c r="M43" s="32" t="str">
        <f t="shared" si="2"/>
        <v xml:space="preserve"> </v>
      </c>
      <c r="N43" s="86" t="str">
        <f t="shared" si="1"/>
        <v xml:space="preserve"> </v>
      </c>
      <c r="O43" s="86" t="s">
        <v>36</v>
      </c>
    </row>
    <row r="44" spans="1:15" x14ac:dyDescent="0.25">
      <c r="A44" s="25">
        <f t="shared" si="0"/>
        <v>34</v>
      </c>
      <c r="B44" s="27"/>
      <c r="C44" s="27"/>
      <c r="D44" s="28"/>
      <c r="E44" s="34"/>
      <c r="F44" s="29" t="s">
        <v>36</v>
      </c>
      <c r="G44" s="94"/>
      <c r="H44" s="118"/>
      <c r="I44" s="27" t="s">
        <v>36</v>
      </c>
      <c r="J44" s="31"/>
      <c r="K44" s="31" t="s">
        <v>36</v>
      </c>
      <c r="L44" s="27" t="s">
        <v>36</v>
      </c>
      <c r="M44" s="32" t="str">
        <f t="shared" si="2"/>
        <v xml:space="preserve"> </v>
      </c>
      <c r="N44" s="86" t="str">
        <f t="shared" si="1"/>
        <v xml:space="preserve"> </v>
      </c>
      <c r="O44" s="86" t="s">
        <v>36</v>
      </c>
    </row>
    <row r="45" spans="1:15" x14ac:dyDescent="0.25">
      <c r="A45" s="25">
        <f t="shared" si="0"/>
        <v>35</v>
      </c>
      <c r="B45" s="27"/>
      <c r="C45" s="27"/>
      <c r="D45" s="28"/>
      <c r="E45" s="34"/>
      <c r="F45" s="29" t="s">
        <v>36</v>
      </c>
      <c r="G45" s="94"/>
      <c r="H45" s="118"/>
      <c r="I45" s="27" t="s">
        <v>36</v>
      </c>
      <c r="J45" s="31"/>
      <c r="K45" s="31" t="s">
        <v>36</v>
      </c>
      <c r="L45" s="27" t="s">
        <v>36</v>
      </c>
      <c r="M45" s="32" t="str">
        <f t="shared" si="2"/>
        <v xml:space="preserve"> </v>
      </c>
      <c r="N45" s="86" t="str">
        <f t="shared" si="1"/>
        <v xml:space="preserve"> </v>
      </c>
      <c r="O45" s="86" t="s">
        <v>36</v>
      </c>
    </row>
    <row r="46" spans="1:15" x14ac:dyDescent="0.25">
      <c r="A46" s="25">
        <f t="shared" si="0"/>
        <v>36</v>
      </c>
      <c r="B46" s="27"/>
      <c r="C46" s="27"/>
      <c r="D46" s="28"/>
      <c r="E46" s="34"/>
      <c r="F46" s="29" t="s">
        <v>36</v>
      </c>
      <c r="G46" s="94"/>
      <c r="H46" s="118"/>
      <c r="I46" s="27" t="s">
        <v>36</v>
      </c>
      <c r="J46" s="31"/>
      <c r="K46" s="31" t="s">
        <v>36</v>
      </c>
      <c r="L46" s="27" t="s">
        <v>36</v>
      </c>
      <c r="M46" s="32" t="str">
        <f t="shared" si="2"/>
        <v xml:space="preserve"> </v>
      </c>
      <c r="N46" s="86" t="str">
        <f t="shared" si="1"/>
        <v xml:space="preserve"> </v>
      </c>
      <c r="O46" s="86" t="s">
        <v>36</v>
      </c>
    </row>
    <row r="47" spans="1:15" x14ac:dyDescent="0.25">
      <c r="A47" s="25">
        <f t="shared" si="0"/>
        <v>37</v>
      </c>
      <c r="B47" s="27"/>
      <c r="C47" s="27"/>
      <c r="D47" s="28"/>
      <c r="E47" s="34"/>
      <c r="F47" s="29" t="s">
        <v>36</v>
      </c>
      <c r="G47" s="94"/>
      <c r="H47" s="118"/>
      <c r="I47" s="27" t="s">
        <v>36</v>
      </c>
      <c r="J47" s="31"/>
      <c r="K47" s="31" t="s">
        <v>36</v>
      </c>
      <c r="L47" s="27" t="s">
        <v>36</v>
      </c>
      <c r="M47" s="32" t="str">
        <f t="shared" si="2"/>
        <v xml:space="preserve"> </v>
      </c>
      <c r="N47" s="86" t="str">
        <f t="shared" si="1"/>
        <v xml:space="preserve"> </v>
      </c>
      <c r="O47" s="86" t="s">
        <v>36</v>
      </c>
    </row>
    <row r="48" spans="1:15" x14ac:dyDescent="0.25">
      <c r="A48" s="25">
        <f t="shared" si="0"/>
        <v>38</v>
      </c>
      <c r="B48" s="27"/>
      <c r="C48" s="27"/>
      <c r="D48" s="28"/>
      <c r="E48" s="34"/>
      <c r="F48" s="29" t="s">
        <v>36</v>
      </c>
      <c r="G48" s="94"/>
      <c r="H48" s="118"/>
      <c r="I48" s="27" t="s">
        <v>36</v>
      </c>
      <c r="J48" s="31"/>
      <c r="K48" s="31" t="s">
        <v>36</v>
      </c>
      <c r="L48" s="27" t="s">
        <v>36</v>
      </c>
      <c r="M48" s="32" t="str">
        <f t="shared" si="2"/>
        <v xml:space="preserve"> </v>
      </c>
      <c r="N48" s="86" t="str">
        <f t="shared" si="1"/>
        <v xml:space="preserve"> </v>
      </c>
      <c r="O48" s="86" t="s">
        <v>36</v>
      </c>
    </row>
    <row r="49" spans="1:15" x14ac:dyDescent="0.25">
      <c r="A49" s="25">
        <f t="shared" si="0"/>
        <v>39</v>
      </c>
      <c r="B49" s="27"/>
      <c r="C49" s="27"/>
      <c r="D49" s="28"/>
      <c r="E49" s="34"/>
      <c r="F49" s="29" t="s">
        <v>36</v>
      </c>
      <c r="G49" s="94"/>
      <c r="H49" s="118"/>
      <c r="I49" s="27" t="s">
        <v>36</v>
      </c>
      <c r="J49" s="31"/>
      <c r="K49" s="31" t="s">
        <v>36</v>
      </c>
      <c r="L49" s="27" t="s">
        <v>36</v>
      </c>
      <c r="M49" s="32" t="str">
        <f t="shared" si="2"/>
        <v xml:space="preserve"> </v>
      </c>
      <c r="N49" s="86" t="str">
        <f t="shared" si="1"/>
        <v xml:space="preserve"> </v>
      </c>
      <c r="O49" s="86" t="s">
        <v>36</v>
      </c>
    </row>
    <row r="50" spans="1:15" x14ac:dyDescent="0.25">
      <c r="A50" s="25">
        <f t="shared" si="0"/>
        <v>40</v>
      </c>
      <c r="B50" s="27"/>
      <c r="C50" s="27"/>
      <c r="D50" s="28"/>
      <c r="E50" s="34"/>
      <c r="F50" s="29" t="s">
        <v>36</v>
      </c>
      <c r="G50" s="94"/>
      <c r="H50" s="118"/>
      <c r="I50" s="27" t="s">
        <v>36</v>
      </c>
      <c r="J50" s="31"/>
      <c r="K50" s="31" t="s">
        <v>36</v>
      </c>
      <c r="L50" s="27" t="s">
        <v>36</v>
      </c>
      <c r="M50" s="32" t="str">
        <f t="shared" si="2"/>
        <v xml:space="preserve"> </v>
      </c>
      <c r="N50" s="86" t="str">
        <f t="shared" si="1"/>
        <v xml:space="preserve"> </v>
      </c>
      <c r="O50" s="86" t="s">
        <v>36</v>
      </c>
    </row>
    <row r="51" spans="1:15" x14ac:dyDescent="0.25">
      <c r="A51" s="25">
        <f t="shared" si="0"/>
        <v>41</v>
      </c>
      <c r="B51" s="27"/>
      <c r="C51" s="27"/>
      <c r="D51" s="28"/>
      <c r="E51" s="34"/>
      <c r="F51" s="29" t="s">
        <v>36</v>
      </c>
      <c r="G51" s="94"/>
      <c r="H51" s="118"/>
      <c r="I51" s="27" t="s">
        <v>36</v>
      </c>
      <c r="J51" s="31"/>
      <c r="K51" s="31" t="s">
        <v>36</v>
      </c>
      <c r="L51" s="27" t="s">
        <v>36</v>
      </c>
      <c r="M51" s="32" t="str">
        <f t="shared" si="2"/>
        <v xml:space="preserve"> </v>
      </c>
      <c r="N51" s="86" t="str">
        <f t="shared" si="1"/>
        <v xml:space="preserve"> </v>
      </c>
      <c r="O51" s="86" t="s">
        <v>36</v>
      </c>
    </row>
    <row r="52" spans="1:15" x14ac:dyDescent="0.25">
      <c r="A52" s="25">
        <f t="shared" si="0"/>
        <v>42</v>
      </c>
      <c r="B52" s="27"/>
      <c r="C52" s="27"/>
      <c r="D52" s="28"/>
      <c r="E52" s="34"/>
      <c r="F52" s="29" t="s">
        <v>36</v>
      </c>
      <c r="G52" s="94"/>
      <c r="H52" s="118"/>
      <c r="I52" s="27" t="s">
        <v>36</v>
      </c>
      <c r="J52" s="31"/>
      <c r="K52" s="31" t="s">
        <v>36</v>
      </c>
      <c r="L52" s="27" t="s">
        <v>36</v>
      </c>
      <c r="M52" s="32" t="str">
        <f t="shared" si="2"/>
        <v xml:space="preserve"> </v>
      </c>
      <c r="N52" s="86" t="str">
        <f t="shared" si="1"/>
        <v xml:space="preserve"> </v>
      </c>
      <c r="O52" s="86" t="s">
        <v>36</v>
      </c>
    </row>
    <row r="53" spans="1:15" x14ac:dyDescent="0.25">
      <c r="A53" s="25">
        <f t="shared" si="0"/>
        <v>43</v>
      </c>
      <c r="B53" s="27"/>
      <c r="C53" s="27"/>
      <c r="D53" s="28"/>
      <c r="E53" s="34"/>
      <c r="F53" s="29" t="s">
        <v>36</v>
      </c>
      <c r="G53" s="94"/>
      <c r="H53" s="118"/>
      <c r="I53" s="27" t="s">
        <v>36</v>
      </c>
      <c r="J53" s="31"/>
      <c r="K53" s="31" t="s">
        <v>36</v>
      </c>
      <c r="L53" s="27" t="s">
        <v>36</v>
      </c>
      <c r="M53" s="32" t="str">
        <f t="shared" si="2"/>
        <v xml:space="preserve"> </v>
      </c>
      <c r="N53" s="86" t="str">
        <f t="shared" si="1"/>
        <v xml:space="preserve"> </v>
      </c>
      <c r="O53" s="86" t="s">
        <v>36</v>
      </c>
    </row>
    <row r="54" spans="1:15" x14ac:dyDescent="0.25">
      <c r="A54" s="25">
        <f t="shared" si="0"/>
        <v>44</v>
      </c>
      <c r="B54" s="27"/>
      <c r="C54" s="27"/>
      <c r="D54" s="28"/>
      <c r="E54" s="34"/>
      <c r="F54" s="29" t="s">
        <v>36</v>
      </c>
      <c r="G54" s="94"/>
      <c r="H54" s="118"/>
      <c r="I54" s="27" t="s">
        <v>36</v>
      </c>
      <c r="J54" s="31"/>
      <c r="K54" s="31" t="s">
        <v>36</v>
      </c>
      <c r="L54" s="27" t="s">
        <v>36</v>
      </c>
      <c r="M54" s="32" t="str">
        <f t="shared" si="2"/>
        <v xml:space="preserve"> </v>
      </c>
      <c r="N54" s="86" t="str">
        <f t="shared" si="1"/>
        <v xml:space="preserve"> </v>
      </c>
      <c r="O54" s="86" t="s">
        <v>36</v>
      </c>
    </row>
    <row r="55" spans="1:15" x14ac:dyDescent="0.25">
      <c r="A55" s="25">
        <f t="shared" si="0"/>
        <v>45</v>
      </c>
      <c r="B55" s="27"/>
      <c r="C55" s="27"/>
      <c r="D55" s="28"/>
      <c r="E55" s="34"/>
      <c r="F55" s="29" t="s">
        <v>36</v>
      </c>
      <c r="G55" s="94"/>
      <c r="H55" s="118"/>
      <c r="I55" s="27" t="s">
        <v>36</v>
      </c>
      <c r="J55" s="31"/>
      <c r="K55" s="31" t="s">
        <v>36</v>
      </c>
      <c r="L55" s="27" t="s">
        <v>36</v>
      </c>
      <c r="M55" s="32" t="str">
        <f t="shared" si="2"/>
        <v xml:space="preserve"> </v>
      </c>
      <c r="N55" s="86" t="str">
        <f t="shared" si="1"/>
        <v xml:space="preserve"> </v>
      </c>
      <c r="O55" s="86" t="s">
        <v>36</v>
      </c>
    </row>
    <row r="56" spans="1:15" x14ac:dyDescent="0.25">
      <c r="A56" s="25">
        <f t="shared" si="0"/>
        <v>46</v>
      </c>
      <c r="B56" s="27"/>
      <c r="C56" s="27"/>
      <c r="D56" s="28"/>
      <c r="E56" s="34"/>
      <c r="F56" s="29" t="s">
        <v>36</v>
      </c>
      <c r="G56" s="94"/>
      <c r="H56" s="118"/>
      <c r="I56" s="27" t="s">
        <v>36</v>
      </c>
      <c r="J56" s="31"/>
      <c r="K56" s="31" t="s">
        <v>36</v>
      </c>
      <c r="L56" s="27" t="s">
        <v>36</v>
      </c>
      <c r="M56" s="32" t="str">
        <f t="shared" si="2"/>
        <v xml:space="preserve"> </v>
      </c>
      <c r="N56" s="86" t="str">
        <f t="shared" si="1"/>
        <v xml:space="preserve"> </v>
      </c>
      <c r="O56" s="86" t="s">
        <v>36</v>
      </c>
    </row>
    <row r="57" spans="1:15" x14ac:dyDescent="0.25">
      <c r="A57" s="25">
        <f t="shared" si="0"/>
        <v>47</v>
      </c>
      <c r="B57" s="27"/>
      <c r="C57" s="27"/>
      <c r="D57" s="28"/>
      <c r="E57" s="34"/>
      <c r="F57" s="29" t="s">
        <v>36</v>
      </c>
      <c r="G57" s="94"/>
      <c r="H57" s="118"/>
      <c r="I57" s="27" t="s">
        <v>36</v>
      </c>
      <c r="J57" s="31"/>
      <c r="K57" s="31" t="s">
        <v>36</v>
      </c>
      <c r="L57" s="27" t="s">
        <v>36</v>
      </c>
      <c r="M57" s="32" t="str">
        <f t="shared" si="2"/>
        <v xml:space="preserve"> </v>
      </c>
      <c r="N57" s="86" t="str">
        <f t="shared" si="1"/>
        <v xml:space="preserve"> </v>
      </c>
      <c r="O57" s="86" t="s">
        <v>36</v>
      </c>
    </row>
    <row r="58" spans="1:15" x14ac:dyDescent="0.25">
      <c r="A58" s="25">
        <f t="shared" si="0"/>
        <v>48</v>
      </c>
      <c r="B58" s="27"/>
      <c r="C58" s="27"/>
      <c r="D58" s="28"/>
      <c r="E58" s="34"/>
      <c r="F58" s="29" t="s">
        <v>36</v>
      </c>
      <c r="G58" s="94"/>
      <c r="H58" s="118"/>
      <c r="I58" s="27" t="s">
        <v>36</v>
      </c>
      <c r="J58" s="31"/>
      <c r="K58" s="31" t="s">
        <v>36</v>
      </c>
      <c r="L58" s="27" t="s">
        <v>36</v>
      </c>
      <c r="M58" s="32" t="str">
        <f t="shared" si="2"/>
        <v xml:space="preserve"> </v>
      </c>
      <c r="N58" s="86" t="str">
        <f t="shared" si="1"/>
        <v xml:space="preserve"> </v>
      </c>
      <c r="O58" s="86" t="s">
        <v>36</v>
      </c>
    </row>
    <row r="59" spans="1:15" x14ac:dyDescent="0.25">
      <c r="A59" s="25">
        <f t="shared" si="0"/>
        <v>49</v>
      </c>
      <c r="B59" s="27"/>
      <c r="C59" s="27"/>
      <c r="D59" s="28"/>
      <c r="E59" s="34"/>
      <c r="F59" s="29" t="s">
        <v>36</v>
      </c>
      <c r="G59" s="94"/>
      <c r="H59" s="118"/>
      <c r="I59" s="27" t="s">
        <v>36</v>
      </c>
      <c r="J59" s="31"/>
      <c r="K59" s="31" t="s">
        <v>36</v>
      </c>
      <c r="L59" s="27" t="s">
        <v>36</v>
      </c>
      <c r="M59" s="32" t="str">
        <f t="shared" si="2"/>
        <v xml:space="preserve"> </v>
      </c>
      <c r="N59" s="86" t="str">
        <f t="shared" si="1"/>
        <v xml:space="preserve"> </v>
      </c>
      <c r="O59" s="86" t="s">
        <v>36</v>
      </c>
    </row>
    <row r="60" spans="1:15" x14ac:dyDescent="0.25">
      <c r="A60" s="25">
        <f t="shared" si="0"/>
        <v>50</v>
      </c>
      <c r="B60" s="27"/>
      <c r="C60" s="27"/>
      <c r="D60" s="28"/>
      <c r="E60" s="34"/>
      <c r="F60" s="29" t="s">
        <v>36</v>
      </c>
      <c r="G60" s="94"/>
      <c r="H60" s="118"/>
      <c r="I60" s="27" t="s">
        <v>36</v>
      </c>
      <c r="J60" s="31"/>
      <c r="K60" s="31" t="s">
        <v>36</v>
      </c>
      <c r="L60" s="27" t="s">
        <v>36</v>
      </c>
      <c r="M60" s="32" t="str">
        <f t="shared" si="2"/>
        <v xml:space="preserve"> </v>
      </c>
      <c r="N60" s="86" t="str">
        <f t="shared" si="1"/>
        <v xml:space="preserve"> </v>
      </c>
      <c r="O60" s="86" t="s">
        <v>36</v>
      </c>
    </row>
    <row r="61" spans="1:15" x14ac:dyDescent="0.25">
      <c r="A61" s="25">
        <f t="shared" si="0"/>
        <v>51</v>
      </c>
      <c r="B61" s="27"/>
      <c r="C61" s="27"/>
      <c r="D61" s="28"/>
      <c r="E61" s="34"/>
      <c r="F61" s="29" t="s">
        <v>36</v>
      </c>
      <c r="G61" s="94"/>
      <c r="H61" s="118"/>
      <c r="I61" s="27" t="s">
        <v>36</v>
      </c>
      <c r="J61" s="31"/>
      <c r="K61" s="31" t="s">
        <v>36</v>
      </c>
      <c r="L61" s="27" t="s">
        <v>36</v>
      </c>
      <c r="M61" s="32" t="str">
        <f t="shared" si="2"/>
        <v xml:space="preserve"> </v>
      </c>
      <c r="N61" s="86" t="str">
        <f t="shared" si="1"/>
        <v xml:space="preserve"> </v>
      </c>
      <c r="O61" s="86" t="s">
        <v>36</v>
      </c>
    </row>
    <row r="62" spans="1:15" x14ac:dyDescent="0.25">
      <c r="A62" s="25">
        <f t="shared" si="0"/>
        <v>52</v>
      </c>
      <c r="B62" s="26" t="s">
        <v>36</v>
      </c>
      <c r="C62" s="27"/>
      <c r="D62" s="28"/>
      <c r="E62" s="34"/>
      <c r="F62" s="29" t="s">
        <v>36</v>
      </c>
      <c r="G62" s="94"/>
      <c r="H62" s="118"/>
      <c r="I62" s="27" t="s">
        <v>36</v>
      </c>
      <c r="J62" s="31"/>
      <c r="K62" s="31" t="s">
        <v>36</v>
      </c>
      <c r="L62" s="27" t="s">
        <v>36</v>
      </c>
      <c r="M62" s="32" t="str">
        <f t="shared" si="2"/>
        <v xml:space="preserve"> </v>
      </c>
      <c r="N62" s="86" t="str">
        <f t="shared" si="1"/>
        <v xml:space="preserve"> </v>
      </c>
      <c r="O62" s="86" t="s">
        <v>36</v>
      </c>
    </row>
    <row r="63" spans="1:15" x14ac:dyDescent="0.25">
      <c r="A63" s="25">
        <f t="shared" si="0"/>
        <v>53</v>
      </c>
      <c r="B63" s="27"/>
      <c r="C63" s="27"/>
      <c r="D63" s="28"/>
      <c r="E63" s="34"/>
      <c r="F63" s="29" t="s">
        <v>36</v>
      </c>
      <c r="G63" s="94"/>
      <c r="H63" s="118"/>
      <c r="I63" s="27" t="s">
        <v>36</v>
      </c>
      <c r="J63" s="31"/>
      <c r="K63" s="31" t="s">
        <v>36</v>
      </c>
      <c r="L63" s="27" t="s">
        <v>36</v>
      </c>
      <c r="M63" s="32" t="str">
        <f t="shared" si="2"/>
        <v xml:space="preserve"> </v>
      </c>
      <c r="N63" s="86" t="str">
        <f t="shared" si="1"/>
        <v xml:space="preserve"> </v>
      </c>
      <c r="O63" s="86" t="s">
        <v>36</v>
      </c>
    </row>
    <row r="64" spans="1:15" x14ac:dyDescent="0.25">
      <c r="A64" s="25">
        <f t="shared" si="0"/>
        <v>54</v>
      </c>
      <c r="B64" s="27"/>
      <c r="C64" s="27"/>
      <c r="D64" s="28"/>
      <c r="E64" s="34"/>
      <c r="F64" s="29" t="s">
        <v>36</v>
      </c>
      <c r="G64" s="94"/>
      <c r="H64" s="118"/>
      <c r="I64" s="27" t="s">
        <v>36</v>
      </c>
      <c r="J64" s="31"/>
      <c r="K64" s="31" t="s">
        <v>36</v>
      </c>
      <c r="L64" s="27" t="s">
        <v>36</v>
      </c>
      <c r="M64" s="32" t="str">
        <f t="shared" si="2"/>
        <v xml:space="preserve"> </v>
      </c>
      <c r="N64" s="86" t="str">
        <f t="shared" si="1"/>
        <v xml:space="preserve"> </v>
      </c>
      <c r="O64" s="86" t="s">
        <v>36</v>
      </c>
    </row>
    <row r="65" spans="1:15" x14ac:dyDescent="0.25">
      <c r="A65" s="25">
        <f t="shared" si="0"/>
        <v>55</v>
      </c>
      <c r="B65" s="27"/>
      <c r="C65" s="27"/>
      <c r="D65" s="28"/>
      <c r="E65" s="34"/>
      <c r="F65" s="29" t="s">
        <v>36</v>
      </c>
      <c r="G65" s="94"/>
      <c r="H65" s="118"/>
      <c r="I65" s="27" t="s">
        <v>36</v>
      </c>
      <c r="J65" s="31"/>
      <c r="K65" s="31" t="s">
        <v>36</v>
      </c>
      <c r="L65" s="27" t="s">
        <v>36</v>
      </c>
      <c r="M65" s="32" t="str">
        <f t="shared" si="2"/>
        <v xml:space="preserve"> </v>
      </c>
      <c r="N65" s="86" t="str">
        <f t="shared" si="1"/>
        <v xml:space="preserve"> </v>
      </c>
      <c r="O65" s="86" t="s">
        <v>36</v>
      </c>
    </row>
    <row r="66" spans="1:15" x14ac:dyDescent="0.25">
      <c r="A66" s="25">
        <f t="shared" si="0"/>
        <v>56</v>
      </c>
      <c r="B66" s="27"/>
      <c r="C66" s="27"/>
      <c r="D66" s="28"/>
      <c r="E66" s="34"/>
      <c r="F66" s="29" t="s">
        <v>36</v>
      </c>
      <c r="G66" s="94"/>
      <c r="H66" s="118"/>
      <c r="I66" s="27" t="s">
        <v>36</v>
      </c>
      <c r="J66" s="31"/>
      <c r="K66" s="31" t="s">
        <v>36</v>
      </c>
      <c r="L66" s="27" t="s">
        <v>36</v>
      </c>
      <c r="M66" s="32" t="str">
        <f t="shared" si="2"/>
        <v xml:space="preserve"> </v>
      </c>
      <c r="N66" s="86" t="str">
        <f t="shared" si="1"/>
        <v xml:space="preserve"> </v>
      </c>
      <c r="O66" s="86" t="s">
        <v>36</v>
      </c>
    </row>
    <row r="67" spans="1:15" x14ac:dyDescent="0.25">
      <c r="A67" s="25">
        <f t="shared" si="0"/>
        <v>57</v>
      </c>
      <c r="B67" s="27"/>
      <c r="C67" s="27"/>
      <c r="D67" s="28"/>
      <c r="E67" s="34"/>
      <c r="F67" s="29" t="s">
        <v>36</v>
      </c>
      <c r="G67" s="94"/>
      <c r="H67" s="118"/>
      <c r="I67" s="27" t="s">
        <v>36</v>
      </c>
      <c r="J67" s="31"/>
      <c r="K67" s="31" t="s">
        <v>36</v>
      </c>
      <c r="L67" s="27" t="s">
        <v>36</v>
      </c>
      <c r="M67" s="32" t="str">
        <f t="shared" si="2"/>
        <v xml:space="preserve"> </v>
      </c>
      <c r="N67" s="86" t="str">
        <f t="shared" si="1"/>
        <v xml:space="preserve"> </v>
      </c>
      <c r="O67" s="86" t="s">
        <v>36</v>
      </c>
    </row>
    <row r="68" spans="1:15" x14ac:dyDescent="0.25">
      <c r="A68" s="25">
        <f t="shared" si="0"/>
        <v>58</v>
      </c>
      <c r="B68" s="27"/>
      <c r="C68" s="27"/>
      <c r="D68" s="28"/>
      <c r="E68" s="34"/>
      <c r="F68" s="29" t="s">
        <v>36</v>
      </c>
      <c r="G68" s="94"/>
      <c r="H68" s="118"/>
      <c r="I68" s="27" t="s">
        <v>36</v>
      </c>
      <c r="J68" s="31"/>
      <c r="K68" s="31" t="s">
        <v>36</v>
      </c>
      <c r="L68" s="27" t="s">
        <v>36</v>
      </c>
      <c r="M68" s="32" t="str">
        <f t="shared" si="2"/>
        <v xml:space="preserve"> </v>
      </c>
      <c r="N68" s="86" t="str">
        <f t="shared" si="1"/>
        <v xml:space="preserve"> </v>
      </c>
      <c r="O68" s="86" t="s">
        <v>36</v>
      </c>
    </row>
    <row r="69" spans="1:15" x14ac:dyDescent="0.25">
      <c r="A69" s="25">
        <f t="shared" si="0"/>
        <v>59</v>
      </c>
      <c r="B69" s="27"/>
      <c r="C69" s="27"/>
      <c r="D69" s="28"/>
      <c r="E69" s="34"/>
      <c r="F69" s="29" t="s">
        <v>36</v>
      </c>
      <c r="G69" s="94"/>
      <c r="H69" s="118"/>
      <c r="I69" s="27" t="s">
        <v>36</v>
      </c>
      <c r="J69" s="31"/>
      <c r="K69" s="31" t="s">
        <v>36</v>
      </c>
      <c r="L69" s="27" t="s">
        <v>36</v>
      </c>
      <c r="M69" s="32" t="str">
        <f t="shared" si="2"/>
        <v xml:space="preserve"> </v>
      </c>
      <c r="N69" s="86" t="str">
        <f t="shared" si="1"/>
        <v xml:space="preserve"> </v>
      </c>
      <c r="O69" s="86" t="s">
        <v>36</v>
      </c>
    </row>
    <row r="70" spans="1:15" x14ac:dyDescent="0.25">
      <c r="A70" s="25">
        <f t="shared" si="0"/>
        <v>60</v>
      </c>
      <c r="B70" s="27"/>
      <c r="C70" s="27"/>
      <c r="D70" s="28"/>
      <c r="E70" s="34"/>
      <c r="F70" s="29" t="s">
        <v>36</v>
      </c>
      <c r="G70" s="94"/>
      <c r="H70" s="118"/>
      <c r="I70" s="27" t="s">
        <v>36</v>
      </c>
      <c r="J70" s="31"/>
      <c r="K70" s="31" t="s">
        <v>36</v>
      </c>
      <c r="L70" s="27" t="s">
        <v>36</v>
      </c>
      <c r="M70" s="32" t="str">
        <f t="shared" si="2"/>
        <v xml:space="preserve"> </v>
      </c>
      <c r="N70" s="86" t="str">
        <f t="shared" si="1"/>
        <v xml:space="preserve"> </v>
      </c>
      <c r="O70" s="86" t="s">
        <v>36</v>
      </c>
    </row>
    <row r="71" spans="1:15" x14ac:dyDescent="0.25">
      <c r="A71" s="25">
        <f t="shared" si="0"/>
        <v>61</v>
      </c>
      <c r="B71" s="27"/>
      <c r="C71" s="27"/>
      <c r="D71" s="28"/>
      <c r="E71" s="34"/>
      <c r="F71" s="29" t="s">
        <v>36</v>
      </c>
      <c r="G71" s="94"/>
      <c r="H71" s="118"/>
      <c r="I71" s="27" t="s">
        <v>36</v>
      </c>
      <c r="J71" s="31"/>
      <c r="K71" s="31" t="s">
        <v>36</v>
      </c>
      <c r="L71" s="27" t="s">
        <v>36</v>
      </c>
      <c r="M71" s="32" t="str">
        <f t="shared" si="2"/>
        <v xml:space="preserve"> </v>
      </c>
      <c r="N71" s="86" t="str">
        <f t="shared" si="1"/>
        <v xml:space="preserve"> </v>
      </c>
      <c r="O71" s="86" t="s">
        <v>36</v>
      </c>
    </row>
    <row r="72" spans="1:15" x14ac:dyDescent="0.25">
      <c r="A72" s="25">
        <f t="shared" si="0"/>
        <v>62</v>
      </c>
      <c r="B72" s="27"/>
      <c r="C72" s="27"/>
      <c r="D72" s="28"/>
      <c r="E72" s="34"/>
      <c r="F72" s="29" t="s">
        <v>36</v>
      </c>
      <c r="G72" s="94"/>
      <c r="H72" s="118"/>
      <c r="I72" s="27" t="s">
        <v>36</v>
      </c>
      <c r="J72" s="31"/>
      <c r="K72" s="31" t="s">
        <v>36</v>
      </c>
      <c r="L72" s="27" t="s">
        <v>36</v>
      </c>
      <c r="M72" s="32" t="str">
        <f t="shared" si="2"/>
        <v xml:space="preserve"> </v>
      </c>
      <c r="N72" s="86" t="str">
        <f t="shared" si="1"/>
        <v xml:space="preserve"> </v>
      </c>
      <c r="O72" s="86" t="s">
        <v>36</v>
      </c>
    </row>
    <row r="73" spans="1:15" x14ac:dyDescent="0.25">
      <c r="A73" s="25">
        <f t="shared" si="0"/>
        <v>63</v>
      </c>
      <c r="B73" s="27"/>
      <c r="C73" s="27"/>
      <c r="D73" s="28"/>
      <c r="E73" s="34"/>
      <c r="F73" s="29" t="s">
        <v>36</v>
      </c>
      <c r="G73" s="94"/>
      <c r="H73" s="118"/>
      <c r="I73" s="27" t="s">
        <v>36</v>
      </c>
      <c r="J73" s="31"/>
      <c r="K73" s="31" t="s">
        <v>36</v>
      </c>
      <c r="L73" s="27" t="s">
        <v>36</v>
      </c>
      <c r="M73" s="32" t="str">
        <f t="shared" si="2"/>
        <v xml:space="preserve"> </v>
      </c>
      <c r="N73" s="86" t="str">
        <f t="shared" si="1"/>
        <v xml:space="preserve"> </v>
      </c>
      <c r="O73" s="86" t="s">
        <v>36</v>
      </c>
    </row>
    <row r="74" spans="1:15" x14ac:dyDescent="0.25">
      <c r="A74" s="25">
        <f t="shared" si="0"/>
        <v>64</v>
      </c>
      <c r="B74" s="27"/>
      <c r="C74" s="27"/>
      <c r="D74" s="28"/>
      <c r="E74" s="34"/>
      <c r="F74" s="29" t="s">
        <v>36</v>
      </c>
      <c r="G74" s="94"/>
      <c r="H74" s="118"/>
      <c r="I74" s="27" t="s">
        <v>36</v>
      </c>
      <c r="J74" s="31"/>
      <c r="K74" s="31" t="s">
        <v>36</v>
      </c>
      <c r="L74" s="27" t="s">
        <v>36</v>
      </c>
      <c r="M74" s="32" t="str">
        <f t="shared" si="2"/>
        <v xml:space="preserve"> </v>
      </c>
      <c r="N74" s="86"/>
      <c r="O74" s="86" t="s">
        <v>36</v>
      </c>
    </row>
    <row r="75" spans="1:15" x14ac:dyDescent="0.25">
      <c r="A75" s="25">
        <f t="shared" ref="A75:A87" si="3">A74+1</f>
        <v>65</v>
      </c>
      <c r="B75" s="27"/>
      <c r="C75" s="27"/>
      <c r="D75" s="28"/>
      <c r="E75" s="34"/>
      <c r="F75" s="29" t="s">
        <v>36</v>
      </c>
      <c r="G75" s="94"/>
      <c r="H75" s="118"/>
      <c r="I75" s="27" t="s">
        <v>36</v>
      </c>
      <c r="J75" s="31"/>
      <c r="K75" s="31" t="s">
        <v>36</v>
      </c>
      <c r="L75" s="27" t="s">
        <v>36</v>
      </c>
      <c r="M75" s="32" t="str">
        <f t="shared" si="2"/>
        <v xml:space="preserve"> </v>
      </c>
      <c r="N75" s="86" t="str">
        <f t="shared" ref="N75:N87" si="4">M75</f>
        <v xml:space="preserve"> </v>
      </c>
      <c r="O75" s="86" t="s">
        <v>36</v>
      </c>
    </row>
    <row r="76" spans="1:15" x14ac:dyDescent="0.25">
      <c r="A76" s="25">
        <f t="shared" si="3"/>
        <v>66</v>
      </c>
      <c r="B76" s="27"/>
      <c r="C76" s="27"/>
      <c r="D76" s="28"/>
      <c r="E76" s="34"/>
      <c r="F76" s="29" t="s">
        <v>36</v>
      </c>
      <c r="G76" s="94"/>
      <c r="H76" s="118"/>
      <c r="I76" s="27" t="s">
        <v>36</v>
      </c>
      <c r="J76" s="31"/>
      <c r="K76" s="31" t="s">
        <v>36</v>
      </c>
      <c r="L76" s="27" t="s">
        <v>36</v>
      </c>
      <c r="M76" s="32" t="str">
        <f>IF(F76*I76&gt;0,F76*I76," ")</f>
        <v xml:space="preserve"> </v>
      </c>
      <c r="N76" s="86" t="str">
        <f t="shared" si="4"/>
        <v xml:space="preserve"> </v>
      </c>
      <c r="O76" s="86" t="s">
        <v>36</v>
      </c>
    </row>
    <row r="77" spans="1:15" x14ac:dyDescent="0.25">
      <c r="A77" s="25">
        <f t="shared" si="3"/>
        <v>67</v>
      </c>
      <c r="B77" s="27"/>
      <c r="C77" s="27"/>
      <c r="D77" s="28"/>
      <c r="E77" s="34"/>
      <c r="F77" s="29" t="s">
        <v>36</v>
      </c>
      <c r="G77" s="94"/>
      <c r="H77" s="118"/>
      <c r="I77" s="27" t="s">
        <v>36</v>
      </c>
      <c r="J77" s="31"/>
      <c r="K77" s="31" t="s">
        <v>36</v>
      </c>
      <c r="L77" s="27" t="s">
        <v>36</v>
      </c>
      <c r="M77" s="32" t="str">
        <f>IF(F77*I77&gt;0,F77*I77," ")</f>
        <v xml:space="preserve"> </v>
      </c>
      <c r="N77" s="86" t="str">
        <f t="shared" si="4"/>
        <v xml:space="preserve"> </v>
      </c>
      <c r="O77" s="86" t="s">
        <v>36</v>
      </c>
    </row>
    <row r="78" spans="1:15" x14ac:dyDescent="0.25">
      <c r="A78" s="25">
        <f t="shared" si="3"/>
        <v>68</v>
      </c>
      <c r="B78" s="27"/>
      <c r="C78" s="27"/>
      <c r="D78" s="28"/>
      <c r="E78" s="34"/>
      <c r="F78" s="29" t="s">
        <v>36</v>
      </c>
      <c r="G78" s="94"/>
      <c r="H78" s="118"/>
      <c r="I78" s="27" t="s">
        <v>36</v>
      </c>
      <c r="J78" s="31"/>
      <c r="K78" s="31" t="s">
        <v>36</v>
      </c>
      <c r="L78" s="27" t="s">
        <v>36</v>
      </c>
      <c r="M78" s="32" t="str">
        <f>IF(F78*I78&gt;0,F78*I78," ")</f>
        <v xml:space="preserve"> </v>
      </c>
      <c r="N78" s="86" t="str">
        <f t="shared" si="4"/>
        <v xml:space="preserve"> </v>
      </c>
      <c r="O78" s="86" t="s">
        <v>36</v>
      </c>
    </row>
    <row r="79" spans="1:15" x14ac:dyDescent="0.25">
      <c r="A79" s="25">
        <f t="shared" si="3"/>
        <v>69</v>
      </c>
      <c r="B79" s="27"/>
      <c r="C79" s="27"/>
      <c r="D79" s="28"/>
      <c r="E79" s="34"/>
      <c r="F79" s="29" t="s">
        <v>36</v>
      </c>
      <c r="G79" s="94"/>
      <c r="H79" s="118"/>
      <c r="I79" s="27" t="s">
        <v>36</v>
      </c>
      <c r="J79" s="31"/>
      <c r="K79" s="31" t="s">
        <v>36</v>
      </c>
      <c r="L79" s="27" t="s">
        <v>36</v>
      </c>
      <c r="M79" s="32" t="str">
        <f>IF(F79*I79&gt;0,F79*I79," ")</f>
        <v xml:space="preserve"> </v>
      </c>
      <c r="N79" s="86" t="str">
        <f t="shared" si="4"/>
        <v xml:space="preserve"> </v>
      </c>
      <c r="O79" s="86" t="s">
        <v>36</v>
      </c>
    </row>
    <row r="80" spans="1:15" x14ac:dyDescent="0.25">
      <c r="A80" s="25">
        <f t="shared" si="3"/>
        <v>70</v>
      </c>
      <c r="B80" s="27"/>
      <c r="C80" s="27"/>
      <c r="D80" s="28"/>
      <c r="E80" s="34"/>
      <c r="F80" s="29" t="s">
        <v>36</v>
      </c>
      <c r="G80" s="94"/>
      <c r="H80" s="118"/>
      <c r="I80" s="27" t="s">
        <v>36</v>
      </c>
      <c r="J80" s="31"/>
      <c r="K80" s="31" t="s">
        <v>36</v>
      </c>
      <c r="L80" s="27" t="s">
        <v>36</v>
      </c>
      <c r="M80" s="32" t="str">
        <f>IF(F80*I80&gt;0,F80*I80," ")</f>
        <v xml:space="preserve"> </v>
      </c>
      <c r="N80" s="86" t="str">
        <f t="shared" si="4"/>
        <v xml:space="preserve"> </v>
      </c>
      <c r="O80" s="86" t="s">
        <v>36</v>
      </c>
    </row>
    <row r="81" spans="1:15" x14ac:dyDescent="0.25">
      <c r="A81" s="25">
        <f t="shared" si="3"/>
        <v>71</v>
      </c>
      <c r="B81" s="27"/>
      <c r="C81" s="27"/>
      <c r="D81" s="28"/>
      <c r="E81" s="34"/>
      <c r="F81" s="29" t="s">
        <v>36</v>
      </c>
      <c r="G81" s="94"/>
      <c r="H81" s="118"/>
      <c r="I81" s="27" t="s">
        <v>36</v>
      </c>
      <c r="J81" s="31"/>
      <c r="K81" s="31" t="s">
        <v>36</v>
      </c>
      <c r="L81" s="27" t="s">
        <v>36</v>
      </c>
      <c r="M81" s="32" t="str">
        <f t="shared" ref="M81:M86" si="5">IF(F81*I81&gt;0,F81*I81," ")</f>
        <v xml:space="preserve"> </v>
      </c>
      <c r="N81" s="86" t="str">
        <f t="shared" si="4"/>
        <v xml:space="preserve"> </v>
      </c>
      <c r="O81" s="86" t="s">
        <v>36</v>
      </c>
    </row>
    <row r="82" spans="1:15" x14ac:dyDescent="0.25">
      <c r="A82" s="25">
        <f t="shared" si="3"/>
        <v>72</v>
      </c>
      <c r="B82" s="27"/>
      <c r="C82" s="27"/>
      <c r="D82" s="28"/>
      <c r="E82" s="34"/>
      <c r="F82" s="29" t="s">
        <v>36</v>
      </c>
      <c r="G82" s="94"/>
      <c r="H82" s="118"/>
      <c r="I82" s="27" t="s">
        <v>36</v>
      </c>
      <c r="J82" s="31"/>
      <c r="K82" s="31" t="s">
        <v>36</v>
      </c>
      <c r="L82" s="27" t="s">
        <v>36</v>
      </c>
      <c r="M82" s="32" t="str">
        <f t="shared" si="5"/>
        <v xml:space="preserve"> </v>
      </c>
      <c r="N82" s="86" t="str">
        <f t="shared" si="4"/>
        <v xml:space="preserve"> </v>
      </c>
      <c r="O82" s="86" t="s">
        <v>36</v>
      </c>
    </row>
    <row r="83" spans="1:15" x14ac:dyDescent="0.25">
      <c r="A83" s="25">
        <f t="shared" si="3"/>
        <v>73</v>
      </c>
      <c r="B83" s="27"/>
      <c r="C83" s="27"/>
      <c r="D83" s="28"/>
      <c r="E83" s="34"/>
      <c r="F83" s="29" t="s">
        <v>36</v>
      </c>
      <c r="G83" s="94"/>
      <c r="H83" s="118"/>
      <c r="I83" s="27" t="s">
        <v>36</v>
      </c>
      <c r="J83" s="31"/>
      <c r="K83" s="31" t="s">
        <v>36</v>
      </c>
      <c r="L83" s="27" t="s">
        <v>36</v>
      </c>
      <c r="M83" s="32" t="str">
        <f t="shared" si="5"/>
        <v xml:space="preserve"> </v>
      </c>
      <c r="N83" s="86" t="str">
        <f t="shared" si="4"/>
        <v xml:space="preserve"> </v>
      </c>
      <c r="O83" s="86" t="s">
        <v>36</v>
      </c>
    </row>
    <row r="84" spans="1:15" x14ac:dyDescent="0.25">
      <c r="A84" s="25">
        <f t="shared" si="3"/>
        <v>74</v>
      </c>
      <c r="B84" s="27"/>
      <c r="C84" s="27"/>
      <c r="D84" s="28"/>
      <c r="E84" s="34"/>
      <c r="F84" s="29" t="s">
        <v>36</v>
      </c>
      <c r="G84" s="94"/>
      <c r="H84" s="118"/>
      <c r="I84" s="27" t="s">
        <v>36</v>
      </c>
      <c r="J84" s="31"/>
      <c r="K84" s="31" t="s">
        <v>36</v>
      </c>
      <c r="L84" s="27" t="s">
        <v>36</v>
      </c>
      <c r="M84" s="32" t="str">
        <f t="shared" si="5"/>
        <v xml:space="preserve"> </v>
      </c>
      <c r="N84" s="86" t="str">
        <f t="shared" si="4"/>
        <v xml:space="preserve"> </v>
      </c>
      <c r="O84" s="86" t="s">
        <v>36</v>
      </c>
    </row>
    <row r="85" spans="1:15" x14ac:dyDescent="0.25">
      <c r="A85" s="25">
        <f t="shared" si="3"/>
        <v>75</v>
      </c>
      <c r="B85" s="27"/>
      <c r="C85" s="27"/>
      <c r="D85" s="28"/>
      <c r="E85" s="34"/>
      <c r="F85" s="29" t="s">
        <v>36</v>
      </c>
      <c r="G85" s="94"/>
      <c r="H85" s="118"/>
      <c r="I85" s="27" t="s">
        <v>36</v>
      </c>
      <c r="J85" s="31"/>
      <c r="K85" s="31" t="s">
        <v>36</v>
      </c>
      <c r="L85" s="27" t="s">
        <v>36</v>
      </c>
      <c r="M85" s="32" t="str">
        <f t="shared" si="5"/>
        <v xml:space="preserve"> </v>
      </c>
      <c r="N85" s="86" t="str">
        <f t="shared" si="4"/>
        <v xml:space="preserve"> </v>
      </c>
      <c r="O85" s="86" t="s">
        <v>36</v>
      </c>
    </row>
    <row r="86" spans="1:15" x14ac:dyDescent="0.25">
      <c r="A86" s="25">
        <f t="shared" si="3"/>
        <v>76</v>
      </c>
      <c r="B86" s="27"/>
      <c r="C86" s="27"/>
      <c r="D86" s="28"/>
      <c r="E86" s="34"/>
      <c r="F86" s="29" t="s">
        <v>36</v>
      </c>
      <c r="G86" s="94"/>
      <c r="H86" s="118"/>
      <c r="I86" s="27" t="s">
        <v>36</v>
      </c>
      <c r="J86" s="31"/>
      <c r="K86" s="31" t="s">
        <v>36</v>
      </c>
      <c r="L86" s="27" t="s">
        <v>36</v>
      </c>
      <c r="M86" s="32" t="str">
        <f t="shared" si="5"/>
        <v xml:space="preserve"> </v>
      </c>
      <c r="N86" s="86" t="str">
        <f t="shared" si="4"/>
        <v xml:space="preserve"> </v>
      </c>
      <c r="O86" s="86" t="s">
        <v>36</v>
      </c>
    </row>
    <row r="87" spans="1:15" ht="16.5" thickBot="1" x14ac:dyDescent="0.3">
      <c r="A87" s="25">
        <f t="shared" si="3"/>
        <v>77</v>
      </c>
      <c r="B87" s="27"/>
      <c r="C87" s="27"/>
      <c r="D87" s="28"/>
      <c r="E87" s="92"/>
      <c r="F87" s="29" t="s">
        <v>36</v>
      </c>
      <c r="G87" s="94"/>
      <c r="H87" s="120"/>
      <c r="I87" s="27" t="s">
        <v>36</v>
      </c>
      <c r="J87" s="31"/>
      <c r="K87" s="31" t="s">
        <v>36</v>
      </c>
      <c r="L87" s="27" t="s">
        <v>36</v>
      </c>
      <c r="M87" s="32" t="str">
        <f>IF(F87*I87&gt;0,F87*I87," ")</f>
        <v xml:space="preserve"> </v>
      </c>
      <c r="N87" s="86" t="str">
        <f t="shared" si="4"/>
        <v xml:space="preserve"> </v>
      </c>
      <c r="O87" s="86" t="s">
        <v>36</v>
      </c>
    </row>
    <row r="88" spans="1:15" ht="16.5" thickTop="1" x14ac:dyDescent="0.25">
      <c r="A88" s="41"/>
      <c r="B88" s="42" t="s">
        <v>69</v>
      </c>
      <c r="C88" s="43"/>
      <c r="D88" s="44"/>
      <c r="E88" s="43"/>
      <c r="F88" s="45"/>
      <c r="G88" s="43"/>
      <c r="H88" s="43"/>
      <c r="I88" s="43"/>
      <c r="J88" s="46"/>
      <c r="K88" s="47"/>
      <c r="L88" s="47"/>
      <c r="M88" s="48"/>
      <c r="N88" s="49"/>
      <c r="O88" s="50"/>
    </row>
    <row r="89" spans="1:15" ht="16.5" thickBot="1" x14ac:dyDescent="0.3">
      <c r="A89" s="51"/>
      <c r="B89" s="52" t="s">
        <v>70</v>
      </c>
      <c r="C89" s="53"/>
      <c r="D89" s="54"/>
      <c r="E89" s="53"/>
      <c r="F89" s="55"/>
      <c r="G89" s="53"/>
      <c r="H89" s="53"/>
      <c r="I89" s="53"/>
      <c r="J89" s="56"/>
      <c r="K89" s="47"/>
      <c r="L89" s="57" t="s">
        <v>2</v>
      </c>
      <c r="M89" s="58"/>
      <c r="N89" s="58"/>
      <c r="O89" s="59"/>
    </row>
    <row r="90" spans="1:15" ht="16.5" thickTop="1" x14ac:dyDescent="0.25">
      <c r="A90" s="51"/>
      <c r="B90" s="52" t="s">
        <v>71</v>
      </c>
      <c r="C90" s="53"/>
      <c r="D90" s="54"/>
      <c r="E90" s="60"/>
      <c r="F90" s="61"/>
      <c r="G90" s="60"/>
      <c r="H90" s="60"/>
      <c r="I90" s="53"/>
      <c r="J90" s="56"/>
      <c r="K90" s="47"/>
      <c r="L90" s="62"/>
      <c r="M90" s="63"/>
      <c r="N90" s="63"/>
      <c r="O90" s="64"/>
    </row>
    <row r="91" spans="1:15" x14ac:dyDescent="0.25">
      <c r="A91" s="51"/>
      <c r="B91" s="52"/>
      <c r="C91" s="107"/>
      <c r="D91" s="102"/>
      <c r="E91" s="60"/>
      <c r="F91" s="61"/>
      <c r="G91" s="60"/>
      <c r="H91" s="60"/>
      <c r="I91" s="53"/>
      <c r="J91" s="56"/>
      <c r="K91" s="47"/>
      <c r="L91" s="65" t="s">
        <v>72</v>
      </c>
      <c r="M91" s="66"/>
      <c r="N91" s="67"/>
      <c r="O91" s="68">
        <f>SUM(M10:M87)</f>
        <v>4.7899999999999991</v>
      </c>
    </row>
    <row r="92" spans="1:15" x14ac:dyDescent="0.25">
      <c r="A92" s="51"/>
      <c r="B92" s="69" t="s">
        <v>73</v>
      </c>
      <c r="C92" s="53"/>
      <c r="D92" s="54"/>
      <c r="E92" s="60"/>
      <c r="F92" s="61"/>
      <c r="G92" s="60"/>
      <c r="H92" s="60"/>
      <c r="I92" s="53"/>
      <c r="J92" s="56"/>
      <c r="K92" s="47"/>
      <c r="L92" s="65" t="s">
        <v>74</v>
      </c>
      <c r="M92" s="66"/>
      <c r="N92" s="67"/>
      <c r="O92" s="68">
        <f>SUM(N10:N87)</f>
        <v>4.7899999999999991</v>
      </c>
    </row>
    <row r="93" spans="1:15" x14ac:dyDescent="0.25">
      <c r="A93" s="51"/>
      <c r="B93" s="69" t="s">
        <v>75</v>
      </c>
      <c r="C93" s="53"/>
      <c r="D93" s="54"/>
      <c r="E93" s="53"/>
      <c r="F93" s="55"/>
      <c r="G93" s="53"/>
      <c r="H93" s="53"/>
      <c r="I93" s="53"/>
      <c r="J93" s="56"/>
      <c r="K93" s="47"/>
      <c r="L93" s="65" t="s">
        <v>76</v>
      </c>
      <c r="M93" s="66"/>
      <c r="N93" s="67"/>
      <c r="O93" s="68">
        <f>SUM(O10:O87)</f>
        <v>34</v>
      </c>
    </row>
    <row r="94" spans="1:15" ht="16.5" thickBot="1" x14ac:dyDescent="0.3">
      <c r="A94" s="70"/>
      <c r="B94" s="71" t="s">
        <v>77</v>
      </c>
      <c r="C94" s="72"/>
      <c r="D94" s="73"/>
      <c r="E94" s="72"/>
      <c r="F94" s="74"/>
      <c r="G94" s="72"/>
      <c r="H94" s="72"/>
      <c r="I94" s="72"/>
      <c r="J94" s="75"/>
      <c r="K94" s="76"/>
      <c r="L94" s="77" t="s">
        <v>78</v>
      </c>
      <c r="M94" s="78"/>
      <c r="N94" s="78"/>
      <c r="O94" s="79">
        <f>SUM(I10:I87)</f>
        <v>16</v>
      </c>
    </row>
    <row r="95" spans="1:15" ht="16.5" thickTop="1" x14ac:dyDescent="0.25">
      <c r="A95" s="80"/>
      <c r="B95" s="81" t="s">
        <v>268</v>
      </c>
      <c r="C95" s="82"/>
      <c r="D95" s="82"/>
      <c r="E95" s="82"/>
      <c r="F95" s="83"/>
      <c r="G95" s="82"/>
      <c r="H95" s="82"/>
      <c r="I95" s="82"/>
      <c r="J95" s="84"/>
      <c r="K95" s="82"/>
      <c r="L95" s="82"/>
      <c r="M95" s="83"/>
      <c r="N95" s="83"/>
      <c r="O95" s="85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&amp;LC-VPNCS.XLS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O94"/>
  <sheetViews>
    <sheetView showGridLines="0" zoomScale="80" zoomScaleNormal="8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0" style="11" customWidth="1"/>
    <col min="7" max="7" width="39.5703125" style="11" customWidth="1"/>
    <col min="8" max="8" width="11.28515625" style="11" customWidth="1"/>
    <col min="9" max="9" width="7.42578125" style="11" customWidth="1"/>
    <col min="10" max="10" width="6.140625" style="11" customWidth="1"/>
    <col min="11" max="11" width="7.42578125" style="11" customWidth="1"/>
    <col min="12" max="12" width="39.5703125" style="11" customWidth="1"/>
    <col min="13" max="14" width="10" style="11" customWidth="1"/>
    <col min="15" max="15" width="13.85546875" style="11" customWidth="1"/>
    <col min="16" max="16" width="2.28515625" style="11" customWidth="1"/>
    <col min="17" max="16384" width="12.5703125" style="11"/>
  </cols>
  <sheetData>
    <row r="1" spans="1:15" x14ac:dyDescent="0.25">
      <c r="N1" s="12" t="s">
        <v>15</v>
      </c>
    </row>
    <row r="3" spans="1:15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</row>
    <row r="4" spans="1:15" ht="30.75" x14ac:dyDescent="0.45">
      <c r="A4" s="13" t="s">
        <v>17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</row>
    <row r="5" spans="1:15" ht="30.75" x14ac:dyDescent="0.45">
      <c r="A5" s="13" t="s">
        <v>266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</row>
    <row r="6" spans="1:15" x14ac:dyDescent="0.25">
      <c r="N6" s="12" t="s">
        <v>3</v>
      </c>
    </row>
    <row r="8" spans="1:15" x14ac:dyDescent="0.25">
      <c r="A8" s="15" t="s">
        <v>19</v>
      </c>
      <c r="B8" s="16"/>
      <c r="C8" s="17" t="s">
        <v>20</v>
      </c>
      <c r="D8" s="18"/>
      <c r="E8" s="19"/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27</v>
      </c>
      <c r="M8" s="20" t="s">
        <v>5</v>
      </c>
      <c r="N8" s="20" t="s">
        <v>28</v>
      </c>
      <c r="O8" s="20" t="s">
        <v>29</v>
      </c>
    </row>
    <row r="9" spans="1:15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2"/>
      <c r="K9" s="24" t="s">
        <v>255</v>
      </c>
      <c r="L9" s="22"/>
      <c r="M9" s="24" t="s">
        <v>10</v>
      </c>
      <c r="N9" s="24" t="s">
        <v>11</v>
      </c>
      <c r="O9" s="24" t="s">
        <v>10</v>
      </c>
    </row>
    <row r="10" spans="1:15" ht="16.5" thickTop="1" x14ac:dyDescent="0.25">
      <c r="A10" s="25"/>
      <c r="B10" s="26" t="s">
        <v>36</v>
      </c>
      <c r="C10" s="27"/>
      <c r="D10" s="34"/>
      <c r="E10" s="27"/>
      <c r="F10" s="29"/>
      <c r="G10" s="27"/>
      <c r="H10" s="121" t="s">
        <v>36</v>
      </c>
      <c r="I10" s="27"/>
      <c r="J10" s="27"/>
      <c r="K10" s="27"/>
      <c r="L10" s="27"/>
      <c r="M10" s="32" t="str">
        <f>IF(F10*I10&gt;0,F10*I10," ")</f>
        <v xml:space="preserve"> </v>
      </c>
      <c r="N10" s="33" t="s">
        <v>36</v>
      </c>
      <c r="O10" s="32"/>
    </row>
    <row r="11" spans="1:15" x14ac:dyDescent="0.25">
      <c r="A11" s="25">
        <f t="shared" ref="A11:A74" si="0">A10+1</f>
        <v>1</v>
      </c>
      <c r="B11" s="27"/>
      <c r="C11" s="27" t="s">
        <v>267</v>
      </c>
      <c r="D11" s="34">
        <v>135</v>
      </c>
      <c r="E11" s="27"/>
      <c r="F11" s="29">
        <v>0.2</v>
      </c>
      <c r="G11" s="27" t="s">
        <v>197</v>
      </c>
      <c r="H11" s="31">
        <v>1983</v>
      </c>
      <c r="I11" s="27">
        <v>3</v>
      </c>
      <c r="J11" s="31" t="s">
        <v>38</v>
      </c>
      <c r="K11" s="109">
        <v>1</v>
      </c>
      <c r="L11" s="27"/>
      <c r="M11" s="32">
        <f>IF(F11*I11&gt;0,F11*I11," ")</f>
        <v>0.60000000000000009</v>
      </c>
      <c r="N11" s="32">
        <v>0.6</v>
      </c>
      <c r="O11" s="32">
        <v>12</v>
      </c>
    </row>
    <row r="12" spans="1:15" x14ac:dyDescent="0.25">
      <c r="A12" s="25">
        <f t="shared" si="0"/>
        <v>2</v>
      </c>
      <c r="B12" s="27"/>
      <c r="C12" s="27" t="s">
        <v>267</v>
      </c>
      <c r="D12" s="34">
        <v>139</v>
      </c>
      <c r="E12" s="27"/>
      <c r="F12" s="29">
        <v>0.22</v>
      </c>
      <c r="G12" s="27" t="s">
        <v>197</v>
      </c>
      <c r="H12" s="31">
        <v>1985</v>
      </c>
      <c r="I12" s="27">
        <v>3</v>
      </c>
      <c r="J12" s="31" t="s">
        <v>38</v>
      </c>
      <c r="K12" s="109">
        <v>1</v>
      </c>
      <c r="L12" s="27"/>
      <c r="M12" s="32">
        <f t="shared" ref="M12:M75" si="1">IF(F12*I12&gt;0,F12*I12," ")</f>
        <v>0.66</v>
      </c>
      <c r="N12" s="32">
        <v>0.66</v>
      </c>
      <c r="O12" s="32">
        <v>27.5</v>
      </c>
    </row>
    <row r="13" spans="1:15" x14ac:dyDescent="0.25">
      <c r="A13" s="25">
        <f t="shared" si="0"/>
        <v>3</v>
      </c>
      <c r="B13" s="27"/>
      <c r="C13" s="27"/>
      <c r="D13" s="27"/>
      <c r="E13" s="27"/>
      <c r="F13" s="27"/>
      <c r="G13" s="27"/>
      <c r="H13" s="31"/>
      <c r="I13" s="27"/>
      <c r="J13" s="27"/>
      <c r="K13" s="27"/>
      <c r="L13" s="27"/>
      <c r="M13" s="32" t="str">
        <f t="shared" si="1"/>
        <v xml:space="preserve"> </v>
      </c>
      <c r="N13" s="32"/>
      <c r="O13" s="32"/>
    </row>
    <row r="14" spans="1:15" x14ac:dyDescent="0.25">
      <c r="A14" s="25">
        <f t="shared" si="0"/>
        <v>4</v>
      </c>
      <c r="B14" s="27"/>
      <c r="C14" s="27"/>
      <c r="D14" s="27"/>
      <c r="E14" s="27"/>
      <c r="F14" s="27"/>
      <c r="G14" s="27"/>
      <c r="H14" s="31"/>
      <c r="I14" s="27"/>
      <c r="J14" s="27"/>
      <c r="K14" s="27"/>
      <c r="L14" s="27"/>
      <c r="M14" s="32" t="str">
        <f t="shared" si="1"/>
        <v xml:space="preserve"> </v>
      </c>
      <c r="N14" s="32"/>
      <c r="O14" s="32"/>
    </row>
    <row r="15" spans="1:15" x14ac:dyDescent="0.25">
      <c r="A15" s="25">
        <f t="shared" si="0"/>
        <v>5</v>
      </c>
      <c r="B15" s="27"/>
      <c r="C15" s="27"/>
      <c r="D15" s="27"/>
      <c r="E15" s="27"/>
      <c r="F15" s="27"/>
      <c r="G15" s="27"/>
      <c r="H15" s="31"/>
      <c r="I15" s="27"/>
      <c r="J15" s="27"/>
      <c r="K15" s="27"/>
      <c r="L15" s="27"/>
      <c r="M15" s="32" t="str">
        <f t="shared" si="1"/>
        <v xml:space="preserve"> </v>
      </c>
      <c r="N15" s="32"/>
      <c r="O15" s="32"/>
    </row>
    <row r="16" spans="1:15" x14ac:dyDescent="0.25">
      <c r="A16" s="25">
        <f t="shared" si="0"/>
        <v>6</v>
      </c>
      <c r="B16" s="27"/>
      <c r="C16" s="27"/>
      <c r="D16" s="27"/>
      <c r="E16" s="27"/>
      <c r="F16" s="27"/>
      <c r="G16" s="27"/>
      <c r="H16" s="31"/>
      <c r="I16" s="27"/>
      <c r="J16" s="27"/>
      <c r="K16" s="27"/>
      <c r="L16" s="27"/>
      <c r="M16" s="32" t="str">
        <f t="shared" si="1"/>
        <v xml:space="preserve"> </v>
      </c>
      <c r="N16" s="32"/>
      <c r="O16" s="32"/>
    </row>
    <row r="17" spans="1:15" x14ac:dyDescent="0.25">
      <c r="A17" s="25">
        <f t="shared" si="0"/>
        <v>7</v>
      </c>
      <c r="B17" s="27"/>
      <c r="C17" s="27"/>
      <c r="D17" s="27"/>
      <c r="E17" s="27"/>
      <c r="F17" s="27"/>
      <c r="G17" s="27"/>
      <c r="H17" s="31"/>
      <c r="I17" s="27"/>
      <c r="J17" s="27"/>
      <c r="K17" s="27"/>
      <c r="L17" s="27"/>
      <c r="M17" s="32" t="str">
        <f t="shared" si="1"/>
        <v xml:space="preserve"> </v>
      </c>
      <c r="N17" s="32"/>
      <c r="O17" s="32"/>
    </row>
    <row r="18" spans="1:15" x14ac:dyDescent="0.25">
      <c r="A18" s="25">
        <f t="shared" si="0"/>
        <v>8</v>
      </c>
      <c r="B18" s="27"/>
      <c r="C18" s="27"/>
      <c r="D18" s="27"/>
      <c r="E18" s="27"/>
      <c r="F18" s="27"/>
      <c r="G18" s="27"/>
      <c r="H18" s="31"/>
      <c r="I18" s="27"/>
      <c r="J18" s="27"/>
      <c r="K18" s="27"/>
      <c r="L18" s="27"/>
      <c r="M18" s="32" t="str">
        <f t="shared" si="1"/>
        <v xml:space="preserve"> </v>
      </c>
      <c r="N18" s="32"/>
      <c r="O18" s="32"/>
    </row>
    <row r="19" spans="1:15" x14ac:dyDescent="0.25">
      <c r="A19" s="25">
        <f t="shared" si="0"/>
        <v>9</v>
      </c>
      <c r="B19" s="27"/>
      <c r="C19" s="27"/>
      <c r="D19" s="34"/>
      <c r="E19" s="27"/>
      <c r="F19" s="29"/>
      <c r="G19" s="27"/>
      <c r="H19" s="31"/>
      <c r="I19" s="27"/>
      <c r="J19" s="27"/>
      <c r="K19" s="27"/>
      <c r="L19" s="27"/>
      <c r="M19" s="32" t="str">
        <f t="shared" si="1"/>
        <v xml:space="preserve"> </v>
      </c>
      <c r="N19" s="32"/>
      <c r="O19" s="32"/>
    </row>
    <row r="20" spans="1:15" x14ac:dyDescent="0.25">
      <c r="A20" s="25">
        <f t="shared" si="0"/>
        <v>10</v>
      </c>
      <c r="B20" s="27"/>
      <c r="C20" s="27"/>
      <c r="D20" s="34"/>
      <c r="E20" s="27"/>
      <c r="F20" s="29"/>
      <c r="G20" s="27"/>
      <c r="H20" s="31"/>
      <c r="I20" s="27"/>
      <c r="J20" s="27"/>
      <c r="K20" s="27"/>
      <c r="L20" s="27"/>
      <c r="M20" s="32" t="str">
        <f t="shared" si="1"/>
        <v xml:space="preserve"> </v>
      </c>
      <c r="N20" s="32"/>
      <c r="O20" s="32"/>
    </row>
    <row r="21" spans="1:15" x14ac:dyDescent="0.25">
      <c r="A21" s="25">
        <f t="shared" si="0"/>
        <v>11</v>
      </c>
      <c r="B21" s="27"/>
      <c r="C21" s="27"/>
      <c r="D21" s="34"/>
      <c r="E21" s="27"/>
      <c r="F21" s="29"/>
      <c r="G21" s="27"/>
      <c r="H21" s="31"/>
      <c r="I21" s="27"/>
      <c r="J21" s="27"/>
      <c r="K21" s="27"/>
      <c r="L21" s="27"/>
      <c r="M21" s="32" t="str">
        <f t="shared" si="1"/>
        <v xml:space="preserve"> </v>
      </c>
      <c r="N21" s="32"/>
      <c r="O21" s="32"/>
    </row>
    <row r="22" spans="1:15" x14ac:dyDescent="0.25">
      <c r="A22" s="25">
        <f t="shared" si="0"/>
        <v>12</v>
      </c>
      <c r="B22" s="27"/>
      <c r="C22" s="27"/>
      <c r="D22" s="34"/>
      <c r="E22" s="27"/>
      <c r="F22" s="29"/>
      <c r="G22" s="27"/>
      <c r="H22" s="31"/>
      <c r="I22" s="27"/>
      <c r="J22" s="27"/>
      <c r="K22" s="27"/>
      <c r="L22" s="27"/>
      <c r="M22" s="32" t="str">
        <f t="shared" si="1"/>
        <v xml:space="preserve"> </v>
      </c>
      <c r="N22" s="32"/>
      <c r="O22" s="32"/>
    </row>
    <row r="23" spans="1:15" x14ac:dyDescent="0.25">
      <c r="A23" s="25">
        <f t="shared" si="0"/>
        <v>13</v>
      </c>
      <c r="B23" s="27"/>
      <c r="C23" s="27"/>
      <c r="D23" s="34"/>
      <c r="E23" s="27"/>
      <c r="F23" s="29"/>
      <c r="G23" s="27"/>
      <c r="H23" s="31"/>
      <c r="I23" s="27"/>
      <c r="J23" s="27"/>
      <c r="K23" s="27"/>
      <c r="L23" s="27"/>
      <c r="M23" s="32" t="str">
        <f t="shared" si="1"/>
        <v xml:space="preserve"> </v>
      </c>
      <c r="N23" s="32"/>
      <c r="O23" s="32"/>
    </row>
    <row r="24" spans="1:15" x14ac:dyDescent="0.25">
      <c r="A24" s="25">
        <f t="shared" si="0"/>
        <v>14</v>
      </c>
      <c r="B24" s="27"/>
      <c r="C24" s="27"/>
      <c r="D24" s="34"/>
      <c r="E24" s="27"/>
      <c r="F24" s="29"/>
      <c r="G24" s="27"/>
      <c r="H24" s="31"/>
      <c r="I24" s="27"/>
      <c r="J24" s="27"/>
      <c r="K24" s="27"/>
      <c r="L24" s="27"/>
      <c r="M24" s="32" t="str">
        <f t="shared" si="1"/>
        <v xml:space="preserve"> </v>
      </c>
      <c r="N24" s="32"/>
      <c r="O24" s="32"/>
    </row>
    <row r="25" spans="1:15" x14ac:dyDescent="0.25">
      <c r="A25" s="25">
        <f t="shared" si="0"/>
        <v>15</v>
      </c>
      <c r="B25" s="27"/>
      <c r="C25" s="27"/>
      <c r="D25" s="34"/>
      <c r="E25" s="27"/>
      <c r="F25" s="29"/>
      <c r="G25" s="27"/>
      <c r="H25" s="31"/>
      <c r="I25" s="27"/>
      <c r="J25" s="27"/>
      <c r="K25" s="27"/>
      <c r="L25" s="27"/>
      <c r="M25" s="32" t="str">
        <f t="shared" si="1"/>
        <v xml:space="preserve"> </v>
      </c>
      <c r="N25" s="32"/>
      <c r="O25" s="32"/>
    </row>
    <row r="26" spans="1:15" x14ac:dyDescent="0.25">
      <c r="A26" s="25">
        <f t="shared" si="0"/>
        <v>16</v>
      </c>
      <c r="B26" s="27"/>
      <c r="C26" s="27"/>
      <c r="D26" s="34"/>
      <c r="E26" s="27"/>
      <c r="F26" s="29"/>
      <c r="G26" s="27"/>
      <c r="H26" s="31"/>
      <c r="I26" s="27"/>
      <c r="J26" s="27"/>
      <c r="K26" s="27"/>
      <c r="L26" s="27"/>
      <c r="M26" s="32" t="str">
        <f t="shared" si="1"/>
        <v xml:space="preserve"> </v>
      </c>
      <c r="N26" s="32"/>
      <c r="O26" s="32"/>
    </row>
    <row r="27" spans="1:15" x14ac:dyDescent="0.25">
      <c r="A27" s="25">
        <f t="shared" si="0"/>
        <v>17</v>
      </c>
      <c r="B27" s="27"/>
      <c r="C27" s="27"/>
      <c r="D27" s="34"/>
      <c r="E27" s="27"/>
      <c r="F27" s="29"/>
      <c r="G27" s="27"/>
      <c r="H27" s="31"/>
      <c r="I27" s="27"/>
      <c r="J27" s="27"/>
      <c r="K27" s="27"/>
      <c r="L27" s="27"/>
      <c r="M27" s="32" t="str">
        <f t="shared" si="1"/>
        <v xml:space="preserve"> </v>
      </c>
      <c r="N27" s="32"/>
      <c r="O27" s="32"/>
    </row>
    <row r="28" spans="1:15" x14ac:dyDescent="0.25">
      <c r="A28" s="25">
        <f t="shared" si="0"/>
        <v>18</v>
      </c>
      <c r="B28" s="27"/>
      <c r="C28" s="27"/>
      <c r="D28" s="34"/>
      <c r="E28" s="27"/>
      <c r="F28" s="29"/>
      <c r="G28" s="27"/>
      <c r="H28" s="31"/>
      <c r="I28" s="27"/>
      <c r="J28" s="27"/>
      <c r="K28" s="27"/>
      <c r="L28" s="27"/>
      <c r="M28" s="32" t="str">
        <f t="shared" si="1"/>
        <v xml:space="preserve"> </v>
      </c>
      <c r="N28" s="32"/>
      <c r="O28" s="32"/>
    </row>
    <row r="29" spans="1:15" x14ac:dyDescent="0.25">
      <c r="A29" s="25">
        <f t="shared" si="0"/>
        <v>19</v>
      </c>
      <c r="B29" s="27"/>
      <c r="C29" s="27"/>
      <c r="D29" s="34"/>
      <c r="E29" s="27"/>
      <c r="F29" s="29"/>
      <c r="G29" s="27"/>
      <c r="H29" s="31"/>
      <c r="I29" s="27"/>
      <c r="J29" s="27"/>
      <c r="K29" s="27"/>
      <c r="L29" s="27"/>
      <c r="M29" s="32" t="str">
        <f t="shared" si="1"/>
        <v xml:space="preserve"> </v>
      </c>
      <c r="N29" s="32"/>
      <c r="O29" s="32"/>
    </row>
    <row r="30" spans="1:15" x14ac:dyDescent="0.25">
      <c r="A30" s="25">
        <f t="shared" si="0"/>
        <v>20</v>
      </c>
      <c r="B30" s="27"/>
      <c r="C30" s="27"/>
      <c r="D30" s="34"/>
      <c r="E30" s="27"/>
      <c r="F30" s="29"/>
      <c r="G30" s="27"/>
      <c r="H30" s="31"/>
      <c r="I30" s="27"/>
      <c r="J30" s="27"/>
      <c r="K30" s="27"/>
      <c r="L30" s="27"/>
      <c r="M30" s="32" t="str">
        <f t="shared" si="1"/>
        <v xml:space="preserve"> </v>
      </c>
      <c r="N30" s="32"/>
      <c r="O30" s="32"/>
    </row>
    <row r="31" spans="1:15" x14ac:dyDescent="0.25">
      <c r="A31" s="25">
        <f t="shared" si="0"/>
        <v>21</v>
      </c>
      <c r="B31" s="27"/>
      <c r="C31" s="27"/>
      <c r="D31" s="34"/>
      <c r="E31" s="27"/>
      <c r="F31" s="29"/>
      <c r="G31" s="27"/>
      <c r="H31" s="31"/>
      <c r="I31" s="27"/>
      <c r="J31" s="27"/>
      <c r="K31" s="27"/>
      <c r="L31" s="27"/>
      <c r="M31" s="32" t="str">
        <f t="shared" si="1"/>
        <v xml:space="preserve"> </v>
      </c>
      <c r="N31" s="32"/>
      <c r="O31" s="32"/>
    </row>
    <row r="32" spans="1:15" x14ac:dyDescent="0.25">
      <c r="A32" s="25">
        <f t="shared" si="0"/>
        <v>22</v>
      </c>
      <c r="B32" s="27"/>
      <c r="C32" s="27"/>
      <c r="D32" s="34"/>
      <c r="E32" s="27"/>
      <c r="F32" s="29"/>
      <c r="G32" s="27"/>
      <c r="H32" s="31"/>
      <c r="I32" s="27"/>
      <c r="J32" s="27"/>
      <c r="K32" s="27"/>
      <c r="L32" s="27"/>
      <c r="M32" s="32" t="str">
        <f t="shared" si="1"/>
        <v xml:space="preserve"> </v>
      </c>
      <c r="N32" s="32"/>
      <c r="O32" s="32"/>
    </row>
    <row r="33" spans="1:15" x14ac:dyDescent="0.25">
      <c r="A33" s="25">
        <f t="shared" si="0"/>
        <v>23</v>
      </c>
      <c r="B33" s="27"/>
      <c r="C33" s="27"/>
      <c r="D33" s="34"/>
      <c r="E33" s="27"/>
      <c r="F33" s="29"/>
      <c r="G33" s="27"/>
      <c r="H33" s="31"/>
      <c r="I33" s="27"/>
      <c r="J33" s="27"/>
      <c r="K33" s="27"/>
      <c r="L33" s="27"/>
      <c r="M33" s="32" t="str">
        <f t="shared" si="1"/>
        <v xml:space="preserve"> </v>
      </c>
      <c r="N33" s="32"/>
      <c r="O33" s="32"/>
    </row>
    <row r="34" spans="1:15" x14ac:dyDescent="0.25">
      <c r="A34" s="25">
        <f t="shared" si="0"/>
        <v>24</v>
      </c>
      <c r="B34" s="27"/>
      <c r="C34" s="27"/>
      <c r="D34" s="34"/>
      <c r="E34" s="27"/>
      <c r="F34" s="29"/>
      <c r="G34" s="27"/>
      <c r="H34" s="31"/>
      <c r="I34" s="27"/>
      <c r="J34" s="27"/>
      <c r="K34" s="27"/>
      <c r="L34" s="27"/>
      <c r="M34" s="32" t="str">
        <f t="shared" si="1"/>
        <v xml:space="preserve"> </v>
      </c>
      <c r="N34" s="32"/>
      <c r="O34" s="32"/>
    </row>
    <row r="35" spans="1:15" x14ac:dyDescent="0.25">
      <c r="A35" s="25">
        <f t="shared" si="0"/>
        <v>25</v>
      </c>
      <c r="B35" s="27"/>
      <c r="C35" s="27"/>
      <c r="D35" s="34"/>
      <c r="E35" s="27"/>
      <c r="F35" s="29"/>
      <c r="G35" s="27"/>
      <c r="H35" s="31"/>
      <c r="I35" s="27"/>
      <c r="J35" s="27"/>
      <c r="K35" s="27"/>
      <c r="L35" s="27"/>
      <c r="M35" s="32" t="str">
        <f t="shared" si="1"/>
        <v xml:space="preserve"> </v>
      </c>
      <c r="N35" s="32"/>
      <c r="O35" s="32"/>
    </row>
    <row r="36" spans="1:15" x14ac:dyDescent="0.25">
      <c r="A36" s="25">
        <f t="shared" si="0"/>
        <v>26</v>
      </c>
      <c r="B36" s="27"/>
      <c r="C36" s="27"/>
      <c r="D36" s="34"/>
      <c r="E36" s="27"/>
      <c r="F36" s="29"/>
      <c r="G36" s="27"/>
      <c r="H36" s="31"/>
      <c r="I36" s="27"/>
      <c r="J36" s="27"/>
      <c r="K36" s="27"/>
      <c r="L36" s="27"/>
      <c r="M36" s="32" t="str">
        <f t="shared" si="1"/>
        <v xml:space="preserve"> </v>
      </c>
      <c r="N36" s="32"/>
      <c r="O36" s="32"/>
    </row>
    <row r="37" spans="1:15" x14ac:dyDescent="0.25">
      <c r="A37" s="25">
        <f t="shared" si="0"/>
        <v>27</v>
      </c>
      <c r="B37" s="27"/>
      <c r="C37" s="27"/>
      <c r="D37" s="34"/>
      <c r="E37" s="27"/>
      <c r="F37" s="29"/>
      <c r="G37" s="27"/>
      <c r="H37" s="31"/>
      <c r="I37" s="27"/>
      <c r="J37" s="27"/>
      <c r="K37" s="27"/>
      <c r="L37" s="27"/>
      <c r="M37" s="32" t="str">
        <f t="shared" si="1"/>
        <v xml:space="preserve"> </v>
      </c>
      <c r="N37" s="32"/>
      <c r="O37" s="32"/>
    </row>
    <row r="38" spans="1:15" x14ac:dyDescent="0.25">
      <c r="A38" s="25">
        <f t="shared" si="0"/>
        <v>28</v>
      </c>
      <c r="B38" s="27"/>
      <c r="C38" s="27"/>
      <c r="D38" s="34"/>
      <c r="E38" s="27"/>
      <c r="F38" s="29"/>
      <c r="G38" s="27"/>
      <c r="H38" s="31"/>
      <c r="I38" s="27"/>
      <c r="J38" s="27"/>
      <c r="K38" s="27"/>
      <c r="L38" s="27"/>
      <c r="M38" s="32" t="str">
        <f t="shared" si="1"/>
        <v xml:space="preserve"> </v>
      </c>
      <c r="N38" s="32"/>
      <c r="O38" s="32"/>
    </row>
    <row r="39" spans="1:15" x14ac:dyDescent="0.25">
      <c r="A39" s="25">
        <f t="shared" si="0"/>
        <v>29</v>
      </c>
      <c r="B39" s="27"/>
      <c r="C39" s="27"/>
      <c r="D39" s="34"/>
      <c r="E39" s="27"/>
      <c r="F39" s="29"/>
      <c r="G39" s="27"/>
      <c r="H39" s="31"/>
      <c r="I39" s="27"/>
      <c r="J39" s="27"/>
      <c r="K39" s="27"/>
      <c r="L39" s="27"/>
      <c r="M39" s="32" t="str">
        <f t="shared" si="1"/>
        <v xml:space="preserve"> </v>
      </c>
      <c r="N39" s="32"/>
      <c r="O39" s="32"/>
    </row>
    <row r="40" spans="1:15" x14ac:dyDescent="0.25">
      <c r="A40" s="25">
        <f t="shared" si="0"/>
        <v>30</v>
      </c>
      <c r="B40" s="27"/>
      <c r="C40" s="27"/>
      <c r="D40" s="34"/>
      <c r="E40" s="27"/>
      <c r="F40" s="29"/>
      <c r="G40" s="27"/>
      <c r="H40" s="31"/>
      <c r="I40" s="27"/>
      <c r="J40" s="27"/>
      <c r="K40" s="27"/>
      <c r="L40" s="27"/>
      <c r="M40" s="32" t="str">
        <f t="shared" si="1"/>
        <v xml:space="preserve"> </v>
      </c>
      <c r="N40" s="32"/>
      <c r="O40" s="32"/>
    </row>
    <row r="41" spans="1:15" x14ac:dyDescent="0.25">
      <c r="A41" s="25">
        <f t="shared" si="0"/>
        <v>31</v>
      </c>
      <c r="B41" s="27"/>
      <c r="C41" s="27"/>
      <c r="D41" s="34"/>
      <c r="E41" s="27"/>
      <c r="F41" s="29"/>
      <c r="G41" s="27"/>
      <c r="H41" s="31"/>
      <c r="I41" s="27"/>
      <c r="J41" s="27"/>
      <c r="K41" s="27"/>
      <c r="L41" s="27"/>
      <c r="M41" s="32" t="str">
        <f t="shared" si="1"/>
        <v xml:space="preserve"> </v>
      </c>
      <c r="N41" s="32"/>
      <c r="O41" s="32"/>
    </row>
    <row r="42" spans="1:15" x14ac:dyDescent="0.25">
      <c r="A42" s="25">
        <f t="shared" si="0"/>
        <v>32</v>
      </c>
      <c r="B42" s="27"/>
      <c r="C42" s="27"/>
      <c r="D42" s="34"/>
      <c r="E42" s="27"/>
      <c r="F42" s="29"/>
      <c r="G42" s="27"/>
      <c r="H42" s="31"/>
      <c r="I42" s="27"/>
      <c r="J42" s="27"/>
      <c r="K42" s="27"/>
      <c r="L42" s="27"/>
      <c r="M42" s="32" t="str">
        <f t="shared" si="1"/>
        <v xml:space="preserve"> </v>
      </c>
      <c r="N42" s="32"/>
      <c r="O42" s="32"/>
    </row>
    <row r="43" spans="1:15" x14ac:dyDescent="0.25">
      <c r="A43" s="25">
        <f t="shared" si="0"/>
        <v>33</v>
      </c>
      <c r="B43" s="27"/>
      <c r="C43" s="27"/>
      <c r="D43" s="34"/>
      <c r="E43" s="27"/>
      <c r="F43" s="29"/>
      <c r="G43" s="27"/>
      <c r="H43" s="31"/>
      <c r="I43" s="27"/>
      <c r="J43" s="27"/>
      <c r="K43" s="27"/>
      <c r="L43" s="27"/>
      <c r="M43" s="32" t="str">
        <f t="shared" si="1"/>
        <v xml:space="preserve"> </v>
      </c>
      <c r="N43" s="32"/>
      <c r="O43" s="32"/>
    </row>
    <row r="44" spans="1:15" x14ac:dyDescent="0.25">
      <c r="A44" s="25">
        <f t="shared" si="0"/>
        <v>34</v>
      </c>
      <c r="B44" s="27"/>
      <c r="C44" s="27"/>
      <c r="D44" s="34"/>
      <c r="E44" s="27"/>
      <c r="F44" s="29"/>
      <c r="G44" s="27"/>
      <c r="H44" s="31"/>
      <c r="I44" s="27"/>
      <c r="J44" s="27"/>
      <c r="K44" s="27"/>
      <c r="L44" s="27"/>
      <c r="M44" s="32" t="str">
        <f t="shared" si="1"/>
        <v xml:space="preserve"> </v>
      </c>
      <c r="N44" s="32"/>
      <c r="O44" s="32"/>
    </row>
    <row r="45" spans="1:15" x14ac:dyDescent="0.25">
      <c r="A45" s="25">
        <f t="shared" si="0"/>
        <v>35</v>
      </c>
      <c r="B45" s="27"/>
      <c r="C45" s="27"/>
      <c r="D45" s="34"/>
      <c r="E45" s="27"/>
      <c r="F45" s="29"/>
      <c r="G45" s="27"/>
      <c r="H45" s="31"/>
      <c r="I45" s="27"/>
      <c r="J45" s="27"/>
      <c r="K45" s="27"/>
      <c r="L45" s="27"/>
      <c r="M45" s="32" t="str">
        <f t="shared" si="1"/>
        <v xml:space="preserve"> </v>
      </c>
      <c r="N45" s="32"/>
      <c r="O45" s="32"/>
    </row>
    <row r="46" spans="1:15" x14ac:dyDescent="0.25">
      <c r="A46" s="25">
        <f t="shared" si="0"/>
        <v>36</v>
      </c>
      <c r="B46" s="27"/>
      <c r="C46" s="27"/>
      <c r="D46" s="34"/>
      <c r="E46" s="27"/>
      <c r="F46" s="29"/>
      <c r="G46" s="27"/>
      <c r="H46" s="31"/>
      <c r="I46" s="27"/>
      <c r="J46" s="27"/>
      <c r="K46" s="27"/>
      <c r="L46" s="27"/>
      <c r="M46" s="32" t="str">
        <f t="shared" si="1"/>
        <v xml:space="preserve"> </v>
      </c>
      <c r="N46" s="32"/>
      <c r="O46" s="32"/>
    </row>
    <row r="47" spans="1:15" x14ac:dyDescent="0.25">
      <c r="A47" s="25">
        <f t="shared" si="0"/>
        <v>37</v>
      </c>
      <c r="B47" s="27"/>
      <c r="C47" s="27"/>
      <c r="D47" s="34"/>
      <c r="E47" s="27"/>
      <c r="F47" s="29"/>
      <c r="G47" s="27"/>
      <c r="H47" s="31"/>
      <c r="I47" s="27"/>
      <c r="J47" s="27"/>
      <c r="K47" s="27"/>
      <c r="L47" s="27"/>
      <c r="M47" s="32" t="str">
        <f t="shared" si="1"/>
        <v xml:space="preserve"> </v>
      </c>
      <c r="N47" s="32"/>
      <c r="O47" s="32"/>
    </row>
    <row r="48" spans="1:15" x14ac:dyDescent="0.25">
      <c r="A48" s="25">
        <f t="shared" si="0"/>
        <v>38</v>
      </c>
      <c r="B48" s="27"/>
      <c r="C48" s="27"/>
      <c r="D48" s="34"/>
      <c r="E48" s="27"/>
      <c r="F48" s="29"/>
      <c r="G48" s="27"/>
      <c r="H48" s="31"/>
      <c r="I48" s="27"/>
      <c r="J48" s="27"/>
      <c r="K48" s="27"/>
      <c r="L48" s="27"/>
      <c r="M48" s="32" t="str">
        <f t="shared" si="1"/>
        <v xml:space="preserve"> </v>
      </c>
      <c r="N48" s="32"/>
      <c r="O48" s="32"/>
    </row>
    <row r="49" spans="1:15" x14ac:dyDescent="0.25">
      <c r="A49" s="25">
        <f t="shared" si="0"/>
        <v>39</v>
      </c>
      <c r="B49" s="27"/>
      <c r="C49" s="27"/>
      <c r="D49" s="34"/>
      <c r="E49" s="27"/>
      <c r="F49" s="29"/>
      <c r="G49" s="27"/>
      <c r="H49" s="31"/>
      <c r="I49" s="27"/>
      <c r="J49" s="27"/>
      <c r="K49" s="27"/>
      <c r="L49" s="27"/>
      <c r="M49" s="32" t="str">
        <f t="shared" si="1"/>
        <v xml:space="preserve"> </v>
      </c>
      <c r="N49" s="32"/>
      <c r="O49" s="32"/>
    </row>
    <row r="50" spans="1:15" x14ac:dyDescent="0.25">
      <c r="A50" s="25">
        <f t="shared" si="0"/>
        <v>40</v>
      </c>
      <c r="B50" s="27"/>
      <c r="C50" s="27"/>
      <c r="D50" s="34"/>
      <c r="E50" s="27"/>
      <c r="F50" s="29"/>
      <c r="G50" s="27"/>
      <c r="H50" s="31"/>
      <c r="I50" s="27"/>
      <c r="J50" s="27"/>
      <c r="K50" s="27"/>
      <c r="L50" s="27"/>
      <c r="M50" s="32" t="str">
        <f t="shared" si="1"/>
        <v xml:space="preserve"> </v>
      </c>
      <c r="N50" s="32"/>
      <c r="O50" s="32"/>
    </row>
    <row r="51" spans="1:15" x14ac:dyDescent="0.25">
      <c r="A51" s="25">
        <f t="shared" si="0"/>
        <v>41</v>
      </c>
      <c r="B51" s="27"/>
      <c r="C51" s="27"/>
      <c r="D51" s="34"/>
      <c r="E51" s="27"/>
      <c r="F51" s="29"/>
      <c r="G51" s="27"/>
      <c r="H51" s="31"/>
      <c r="I51" s="27"/>
      <c r="J51" s="27"/>
      <c r="K51" s="27"/>
      <c r="L51" s="27"/>
      <c r="M51" s="32" t="str">
        <f t="shared" si="1"/>
        <v xml:space="preserve"> </v>
      </c>
      <c r="N51" s="32"/>
      <c r="O51" s="32"/>
    </row>
    <row r="52" spans="1:15" x14ac:dyDescent="0.25">
      <c r="A52" s="25">
        <f t="shared" si="0"/>
        <v>42</v>
      </c>
      <c r="B52" s="27"/>
      <c r="C52" s="27"/>
      <c r="D52" s="34"/>
      <c r="E52" s="27"/>
      <c r="F52" s="29"/>
      <c r="G52" s="27"/>
      <c r="H52" s="31"/>
      <c r="I52" s="27"/>
      <c r="J52" s="27"/>
      <c r="K52" s="27"/>
      <c r="L52" s="27"/>
      <c r="M52" s="32" t="str">
        <f t="shared" si="1"/>
        <v xml:space="preserve"> </v>
      </c>
      <c r="N52" s="32"/>
      <c r="O52" s="32"/>
    </row>
    <row r="53" spans="1:15" x14ac:dyDescent="0.25">
      <c r="A53" s="25">
        <f t="shared" si="0"/>
        <v>43</v>
      </c>
      <c r="B53" s="27"/>
      <c r="C53" s="27"/>
      <c r="D53" s="34"/>
      <c r="E53" s="27"/>
      <c r="F53" s="29"/>
      <c r="G53" s="27"/>
      <c r="H53" s="31"/>
      <c r="I53" s="27"/>
      <c r="J53" s="27"/>
      <c r="K53" s="27"/>
      <c r="L53" s="27"/>
      <c r="M53" s="32" t="str">
        <f t="shared" si="1"/>
        <v xml:space="preserve"> </v>
      </c>
      <c r="N53" s="32"/>
      <c r="O53" s="32"/>
    </row>
    <row r="54" spans="1:15" x14ac:dyDescent="0.25">
      <c r="A54" s="25">
        <f t="shared" si="0"/>
        <v>44</v>
      </c>
      <c r="B54" s="27"/>
      <c r="C54" s="27"/>
      <c r="D54" s="34"/>
      <c r="E54" s="27"/>
      <c r="F54" s="29"/>
      <c r="G54" s="27"/>
      <c r="H54" s="31"/>
      <c r="I54" s="27"/>
      <c r="J54" s="27"/>
      <c r="K54" s="27"/>
      <c r="L54" s="27"/>
      <c r="M54" s="32" t="str">
        <f t="shared" si="1"/>
        <v xml:space="preserve"> </v>
      </c>
      <c r="N54" s="32"/>
      <c r="O54" s="32"/>
    </row>
    <row r="55" spans="1:15" x14ac:dyDescent="0.25">
      <c r="A55" s="25">
        <f t="shared" si="0"/>
        <v>45</v>
      </c>
      <c r="B55" s="27"/>
      <c r="C55" s="27"/>
      <c r="D55" s="34"/>
      <c r="E55" s="27"/>
      <c r="F55" s="29"/>
      <c r="G55" s="27"/>
      <c r="H55" s="31"/>
      <c r="I55" s="27"/>
      <c r="J55" s="27"/>
      <c r="K55" s="27"/>
      <c r="L55" s="27"/>
      <c r="M55" s="32" t="str">
        <f t="shared" si="1"/>
        <v xml:space="preserve"> </v>
      </c>
      <c r="N55" s="32"/>
      <c r="O55" s="32"/>
    </row>
    <row r="56" spans="1:15" x14ac:dyDescent="0.25">
      <c r="A56" s="25">
        <f t="shared" si="0"/>
        <v>46</v>
      </c>
      <c r="B56" s="27"/>
      <c r="C56" s="27"/>
      <c r="D56" s="34"/>
      <c r="E56" s="27"/>
      <c r="F56" s="29"/>
      <c r="G56" s="27"/>
      <c r="H56" s="31"/>
      <c r="I56" s="27"/>
      <c r="J56" s="27"/>
      <c r="K56" s="27"/>
      <c r="L56" s="27"/>
      <c r="M56" s="32" t="str">
        <f t="shared" si="1"/>
        <v xml:space="preserve"> </v>
      </c>
      <c r="N56" s="32"/>
      <c r="O56" s="32"/>
    </row>
    <row r="57" spans="1:15" x14ac:dyDescent="0.25">
      <c r="A57" s="25">
        <f t="shared" si="0"/>
        <v>47</v>
      </c>
      <c r="B57" s="27"/>
      <c r="C57" s="27"/>
      <c r="D57" s="34"/>
      <c r="E57" s="27"/>
      <c r="F57" s="29"/>
      <c r="G57" s="27"/>
      <c r="H57" s="31"/>
      <c r="I57" s="27"/>
      <c r="J57" s="27"/>
      <c r="K57" s="27"/>
      <c r="L57" s="27"/>
      <c r="M57" s="32" t="str">
        <f t="shared" si="1"/>
        <v xml:space="preserve"> </v>
      </c>
      <c r="N57" s="32"/>
      <c r="O57" s="32"/>
    </row>
    <row r="58" spans="1:15" x14ac:dyDescent="0.25">
      <c r="A58" s="25">
        <f t="shared" si="0"/>
        <v>48</v>
      </c>
      <c r="B58" s="27"/>
      <c r="C58" s="27"/>
      <c r="D58" s="34"/>
      <c r="E58" s="27"/>
      <c r="F58" s="29"/>
      <c r="G58" s="27"/>
      <c r="H58" s="31"/>
      <c r="I58" s="27"/>
      <c r="J58" s="27"/>
      <c r="K58" s="27"/>
      <c r="L58" s="27"/>
      <c r="M58" s="32" t="str">
        <f t="shared" si="1"/>
        <v xml:space="preserve"> </v>
      </c>
      <c r="N58" s="32"/>
      <c r="O58" s="32"/>
    </row>
    <row r="59" spans="1:15" x14ac:dyDescent="0.25">
      <c r="A59" s="25">
        <f t="shared" si="0"/>
        <v>49</v>
      </c>
      <c r="B59" s="27"/>
      <c r="C59" s="27"/>
      <c r="D59" s="34"/>
      <c r="E59" s="27"/>
      <c r="F59" s="29"/>
      <c r="G59" s="27"/>
      <c r="H59" s="31"/>
      <c r="I59" s="27"/>
      <c r="J59" s="27"/>
      <c r="K59" s="27"/>
      <c r="L59" s="27"/>
      <c r="M59" s="32" t="str">
        <f t="shared" si="1"/>
        <v xml:space="preserve"> </v>
      </c>
      <c r="N59" s="32"/>
      <c r="O59" s="32"/>
    </row>
    <row r="60" spans="1:15" x14ac:dyDescent="0.25">
      <c r="A60" s="25">
        <f t="shared" si="0"/>
        <v>50</v>
      </c>
      <c r="B60" s="26" t="s">
        <v>36</v>
      </c>
      <c r="C60" s="27"/>
      <c r="D60" s="34"/>
      <c r="E60" s="27"/>
      <c r="F60" s="110" t="s">
        <v>36</v>
      </c>
      <c r="G60" s="27"/>
      <c r="H60" s="31"/>
      <c r="I60" s="27"/>
      <c r="J60" s="27"/>
      <c r="K60" s="27"/>
      <c r="L60" s="27"/>
      <c r="M60" s="32" t="str">
        <f t="shared" si="1"/>
        <v xml:space="preserve"> </v>
      </c>
      <c r="N60" s="33" t="s">
        <v>36</v>
      </c>
      <c r="O60" s="32"/>
    </row>
    <row r="61" spans="1:15" x14ac:dyDescent="0.25">
      <c r="A61" s="25">
        <f t="shared" si="0"/>
        <v>51</v>
      </c>
      <c r="B61" s="27"/>
      <c r="C61" s="27"/>
      <c r="D61" s="34"/>
      <c r="E61" s="27"/>
      <c r="F61" s="29"/>
      <c r="G61" s="27"/>
      <c r="H61" s="31"/>
      <c r="I61" s="27"/>
      <c r="J61" s="27"/>
      <c r="K61" s="27"/>
      <c r="L61" s="27"/>
      <c r="M61" s="32" t="str">
        <f t="shared" si="1"/>
        <v xml:space="preserve"> </v>
      </c>
      <c r="N61" s="32"/>
      <c r="O61" s="32"/>
    </row>
    <row r="62" spans="1:15" x14ac:dyDescent="0.25">
      <c r="A62" s="25">
        <f t="shared" si="0"/>
        <v>52</v>
      </c>
      <c r="B62" s="27"/>
      <c r="C62" s="27"/>
      <c r="D62" s="34"/>
      <c r="E62" s="27"/>
      <c r="F62" s="29"/>
      <c r="G62" s="27"/>
      <c r="H62" s="31"/>
      <c r="I62" s="27"/>
      <c r="J62" s="27"/>
      <c r="K62" s="27"/>
      <c r="L62" s="27"/>
      <c r="M62" s="32" t="str">
        <f t="shared" si="1"/>
        <v xml:space="preserve"> </v>
      </c>
      <c r="N62" s="32"/>
      <c r="O62" s="32"/>
    </row>
    <row r="63" spans="1:15" x14ac:dyDescent="0.25">
      <c r="A63" s="25">
        <f t="shared" si="0"/>
        <v>53</v>
      </c>
      <c r="B63" s="27"/>
      <c r="C63" s="27"/>
      <c r="D63" s="34"/>
      <c r="E63" s="27"/>
      <c r="F63" s="29"/>
      <c r="G63" s="27"/>
      <c r="H63" s="31"/>
      <c r="I63" s="27"/>
      <c r="J63" s="27"/>
      <c r="K63" s="27"/>
      <c r="L63" s="27"/>
      <c r="M63" s="32" t="str">
        <f t="shared" si="1"/>
        <v xml:space="preserve"> </v>
      </c>
      <c r="N63" s="32"/>
      <c r="O63" s="32"/>
    </row>
    <row r="64" spans="1:15" x14ac:dyDescent="0.25">
      <c r="A64" s="25">
        <f t="shared" si="0"/>
        <v>54</v>
      </c>
      <c r="B64" s="27"/>
      <c r="C64" s="27"/>
      <c r="D64" s="34"/>
      <c r="E64" s="27"/>
      <c r="F64" s="29"/>
      <c r="G64" s="27"/>
      <c r="H64" s="31"/>
      <c r="I64" s="27"/>
      <c r="J64" s="27"/>
      <c r="K64" s="27"/>
      <c r="L64" s="27"/>
      <c r="M64" s="32" t="str">
        <f t="shared" si="1"/>
        <v xml:space="preserve"> </v>
      </c>
      <c r="N64" s="32"/>
      <c r="O64" s="32"/>
    </row>
    <row r="65" spans="1:15" x14ac:dyDescent="0.25">
      <c r="A65" s="25">
        <f t="shared" si="0"/>
        <v>55</v>
      </c>
      <c r="B65" s="27"/>
      <c r="C65" s="27"/>
      <c r="D65" s="34"/>
      <c r="E65" s="27"/>
      <c r="F65" s="29"/>
      <c r="G65" s="27"/>
      <c r="H65" s="31"/>
      <c r="I65" s="27"/>
      <c r="J65" s="27"/>
      <c r="K65" s="27"/>
      <c r="L65" s="27"/>
      <c r="M65" s="32" t="str">
        <f t="shared" si="1"/>
        <v xml:space="preserve"> </v>
      </c>
      <c r="N65" s="32"/>
      <c r="O65" s="32"/>
    </row>
    <row r="66" spans="1:15" x14ac:dyDescent="0.25">
      <c r="A66" s="25">
        <f t="shared" si="0"/>
        <v>56</v>
      </c>
      <c r="B66" s="27"/>
      <c r="C66" s="27"/>
      <c r="D66" s="34"/>
      <c r="E66" s="27"/>
      <c r="F66" s="29"/>
      <c r="G66" s="27"/>
      <c r="H66" s="31"/>
      <c r="I66" s="27"/>
      <c r="J66" s="27"/>
      <c r="K66" s="27"/>
      <c r="L66" s="27"/>
      <c r="M66" s="32" t="str">
        <f t="shared" si="1"/>
        <v xml:space="preserve"> </v>
      </c>
      <c r="N66" s="32"/>
      <c r="O66" s="32"/>
    </row>
    <row r="67" spans="1:15" x14ac:dyDescent="0.25">
      <c r="A67" s="25">
        <f t="shared" si="0"/>
        <v>57</v>
      </c>
      <c r="B67" s="27"/>
      <c r="C67" s="27"/>
      <c r="D67" s="34"/>
      <c r="E67" s="27"/>
      <c r="F67" s="29"/>
      <c r="G67" s="27"/>
      <c r="H67" s="31"/>
      <c r="I67" s="27"/>
      <c r="J67" s="27"/>
      <c r="K67" s="27"/>
      <c r="L67" s="27"/>
      <c r="M67" s="32" t="str">
        <f t="shared" si="1"/>
        <v xml:space="preserve"> </v>
      </c>
      <c r="N67" s="32"/>
      <c r="O67" s="32"/>
    </row>
    <row r="68" spans="1:15" x14ac:dyDescent="0.25">
      <c r="A68" s="25">
        <f t="shared" si="0"/>
        <v>58</v>
      </c>
      <c r="B68" s="27"/>
      <c r="C68" s="27"/>
      <c r="D68" s="34"/>
      <c r="E68" s="27"/>
      <c r="F68" s="29"/>
      <c r="G68" s="27"/>
      <c r="H68" s="31"/>
      <c r="I68" s="27"/>
      <c r="J68" s="27"/>
      <c r="K68" s="27"/>
      <c r="L68" s="27"/>
      <c r="M68" s="32" t="str">
        <f t="shared" si="1"/>
        <v xml:space="preserve"> </v>
      </c>
      <c r="N68" s="32"/>
      <c r="O68" s="32"/>
    </row>
    <row r="69" spans="1:15" x14ac:dyDescent="0.25">
      <c r="A69" s="25">
        <f t="shared" si="0"/>
        <v>59</v>
      </c>
      <c r="B69" s="27"/>
      <c r="C69" s="27"/>
      <c r="D69" s="34"/>
      <c r="E69" s="27"/>
      <c r="F69" s="29"/>
      <c r="G69" s="27"/>
      <c r="H69" s="31"/>
      <c r="I69" s="27"/>
      <c r="J69" s="27"/>
      <c r="K69" s="27"/>
      <c r="L69" s="27"/>
      <c r="M69" s="32" t="str">
        <f t="shared" si="1"/>
        <v xml:space="preserve"> </v>
      </c>
      <c r="N69" s="32"/>
      <c r="O69" s="32"/>
    </row>
    <row r="70" spans="1:15" x14ac:dyDescent="0.25">
      <c r="A70" s="25">
        <f t="shared" si="0"/>
        <v>60</v>
      </c>
      <c r="B70" s="27"/>
      <c r="C70" s="27"/>
      <c r="D70" s="34"/>
      <c r="E70" s="27"/>
      <c r="F70" s="29"/>
      <c r="G70" s="27"/>
      <c r="H70" s="31"/>
      <c r="I70" s="27"/>
      <c r="J70" s="27"/>
      <c r="K70" s="27"/>
      <c r="L70" s="27"/>
      <c r="M70" s="32" t="str">
        <f t="shared" si="1"/>
        <v xml:space="preserve"> </v>
      </c>
      <c r="N70" s="32"/>
      <c r="O70" s="32"/>
    </row>
    <row r="71" spans="1:15" x14ac:dyDescent="0.25">
      <c r="A71" s="25">
        <f t="shared" si="0"/>
        <v>61</v>
      </c>
      <c r="B71" s="27"/>
      <c r="C71" s="27"/>
      <c r="D71" s="34"/>
      <c r="E71" s="27"/>
      <c r="F71" s="29"/>
      <c r="G71" s="27"/>
      <c r="H71" s="31"/>
      <c r="I71" s="27"/>
      <c r="J71" s="27"/>
      <c r="K71" s="27"/>
      <c r="L71" s="27"/>
      <c r="M71" s="32" t="str">
        <f t="shared" si="1"/>
        <v xml:space="preserve"> </v>
      </c>
      <c r="N71" s="32"/>
      <c r="O71" s="32"/>
    </row>
    <row r="72" spans="1:15" x14ac:dyDescent="0.25">
      <c r="A72" s="25">
        <f t="shared" si="0"/>
        <v>62</v>
      </c>
      <c r="B72" s="27"/>
      <c r="C72" s="27"/>
      <c r="D72" s="34"/>
      <c r="E72" s="27"/>
      <c r="F72" s="29"/>
      <c r="G72" s="27"/>
      <c r="H72" s="31"/>
      <c r="I72" s="27"/>
      <c r="J72" s="27"/>
      <c r="K72" s="27"/>
      <c r="L72" s="27"/>
      <c r="M72" s="32" t="str">
        <f t="shared" si="1"/>
        <v xml:space="preserve"> </v>
      </c>
      <c r="N72" s="32"/>
      <c r="O72" s="32"/>
    </row>
    <row r="73" spans="1:15" x14ac:dyDescent="0.25">
      <c r="A73" s="25">
        <f t="shared" si="0"/>
        <v>63</v>
      </c>
      <c r="B73" s="27"/>
      <c r="C73" s="27"/>
      <c r="D73" s="34"/>
      <c r="E73" s="27"/>
      <c r="F73" s="29"/>
      <c r="G73" s="27"/>
      <c r="H73" s="31"/>
      <c r="I73" s="27"/>
      <c r="J73" s="27"/>
      <c r="K73" s="27"/>
      <c r="L73" s="27"/>
      <c r="M73" s="32" t="str">
        <f t="shared" si="1"/>
        <v xml:space="preserve"> </v>
      </c>
      <c r="N73" s="32"/>
      <c r="O73" s="32"/>
    </row>
    <row r="74" spans="1:15" x14ac:dyDescent="0.25">
      <c r="A74" s="25">
        <f t="shared" si="0"/>
        <v>64</v>
      </c>
      <c r="B74" s="27"/>
      <c r="C74" s="27"/>
      <c r="D74" s="34"/>
      <c r="E74" s="27"/>
      <c r="F74" s="29"/>
      <c r="G74" s="27"/>
      <c r="H74" s="31"/>
      <c r="I74" s="27"/>
      <c r="J74" s="27"/>
      <c r="K74" s="27"/>
      <c r="L74" s="27"/>
      <c r="M74" s="32" t="str">
        <f t="shared" si="1"/>
        <v xml:space="preserve"> </v>
      </c>
      <c r="N74" s="32"/>
      <c r="O74" s="32"/>
    </row>
    <row r="75" spans="1:15" x14ac:dyDescent="0.25">
      <c r="A75" s="25">
        <f t="shared" ref="A75:A86" si="2">A74+1</f>
        <v>65</v>
      </c>
      <c r="B75" s="27"/>
      <c r="C75" s="27"/>
      <c r="D75" s="34"/>
      <c r="E75" s="27"/>
      <c r="F75" s="29"/>
      <c r="G75" s="27"/>
      <c r="H75" s="31"/>
      <c r="I75" s="27"/>
      <c r="J75" s="27"/>
      <c r="K75" s="27"/>
      <c r="L75" s="27"/>
      <c r="M75" s="32" t="str">
        <f t="shared" si="1"/>
        <v xml:space="preserve"> </v>
      </c>
      <c r="N75" s="32"/>
      <c r="O75" s="32"/>
    </row>
    <row r="76" spans="1:15" x14ac:dyDescent="0.25">
      <c r="A76" s="25">
        <f t="shared" si="2"/>
        <v>66</v>
      </c>
      <c r="B76" s="27"/>
      <c r="C76" s="27"/>
      <c r="D76" s="34"/>
      <c r="E76" s="27"/>
      <c r="F76" s="29"/>
      <c r="G76" s="27"/>
      <c r="H76" s="31"/>
      <c r="I76" s="27"/>
      <c r="J76" s="27"/>
      <c r="K76" s="27"/>
      <c r="L76" s="27"/>
      <c r="M76" s="32" t="str">
        <f t="shared" ref="M76:M86" si="3">IF(F76*I76&gt;0,F76*I76," ")</f>
        <v xml:space="preserve"> </v>
      </c>
      <c r="N76" s="32"/>
      <c r="O76" s="32"/>
    </row>
    <row r="77" spans="1:15" x14ac:dyDescent="0.25">
      <c r="A77" s="25">
        <f t="shared" si="2"/>
        <v>67</v>
      </c>
      <c r="B77" s="27"/>
      <c r="C77" s="27"/>
      <c r="D77" s="34"/>
      <c r="E77" s="27"/>
      <c r="F77" s="29"/>
      <c r="G77" s="27"/>
      <c r="H77" s="31"/>
      <c r="I77" s="27"/>
      <c r="J77" s="27"/>
      <c r="K77" s="27"/>
      <c r="L77" s="27"/>
      <c r="M77" s="32" t="str">
        <f t="shared" si="3"/>
        <v xml:space="preserve"> </v>
      </c>
      <c r="N77" s="32"/>
      <c r="O77" s="32"/>
    </row>
    <row r="78" spans="1:15" x14ac:dyDescent="0.25">
      <c r="A78" s="25">
        <f t="shared" si="2"/>
        <v>68</v>
      </c>
      <c r="B78" s="27"/>
      <c r="C78" s="27"/>
      <c r="D78" s="34"/>
      <c r="E78" s="27"/>
      <c r="F78" s="29"/>
      <c r="G78" s="27"/>
      <c r="H78" s="31"/>
      <c r="I78" s="27"/>
      <c r="J78" s="27"/>
      <c r="K78" s="27"/>
      <c r="L78" s="27"/>
      <c r="M78" s="32" t="str">
        <f t="shared" si="3"/>
        <v xml:space="preserve"> </v>
      </c>
      <c r="N78" s="32"/>
      <c r="O78" s="32"/>
    </row>
    <row r="79" spans="1:15" x14ac:dyDescent="0.25">
      <c r="A79" s="25">
        <f t="shared" si="2"/>
        <v>69</v>
      </c>
      <c r="B79" s="27"/>
      <c r="C79" s="27"/>
      <c r="D79" s="34"/>
      <c r="E79" s="27"/>
      <c r="F79" s="29"/>
      <c r="G79" s="27"/>
      <c r="H79" s="31"/>
      <c r="I79" s="27"/>
      <c r="J79" s="27"/>
      <c r="K79" s="27"/>
      <c r="L79" s="27"/>
      <c r="M79" s="32" t="str">
        <f t="shared" si="3"/>
        <v xml:space="preserve"> </v>
      </c>
      <c r="N79" s="32"/>
      <c r="O79" s="32"/>
    </row>
    <row r="80" spans="1:15" x14ac:dyDescent="0.25">
      <c r="A80" s="25">
        <f t="shared" si="2"/>
        <v>70</v>
      </c>
      <c r="B80" s="27"/>
      <c r="C80" s="27"/>
      <c r="D80" s="34"/>
      <c r="E80" s="27"/>
      <c r="F80" s="29"/>
      <c r="G80" s="27"/>
      <c r="H80" s="31"/>
      <c r="I80" s="27"/>
      <c r="J80" s="27"/>
      <c r="K80" s="27"/>
      <c r="L80" s="27"/>
      <c r="M80" s="32" t="str">
        <f t="shared" si="3"/>
        <v xml:space="preserve"> </v>
      </c>
      <c r="N80" s="32"/>
      <c r="O80" s="32"/>
    </row>
    <row r="81" spans="1:15" x14ac:dyDescent="0.25">
      <c r="A81" s="25">
        <f t="shared" si="2"/>
        <v>71</v>
      </c>
      <c r="B81" s="27"/>
      <c r="C81" s="27"/>
      <c r="D81" s="34"/>
      <c r="E81" s="27"/>
      <c r="F81" s="29"/>
      <c r="G81" s="27"/>
      <c r="H81" s="31"/>
      <c r="I81" s="27"/>
      <c r="J81" s="27"/>
      <c r="K81" s="27"/>
      <c r="L81" s="27"/>
      <c r="M81" s="32" t="str">
        <f t="shared" si="3"/>
        <v xml:space="preserve"> </v>
      </c>
      <c r="N81" s="32"/>
      <c r="O81" s="32"/>
    </row>
    <row r="82" spans="1:15" x14ac:dyDescent="0.25">
      <c r="A82" s="25">
        <f t="shared" si="2"/>
        <v>72</v>
      </c>
      <c r="B82" s="27"/>
      <c r="C82" s="27"/>
      <c r="D82" s="34"/>
      <c r="E82" s="27"/>
      <c r="F82" s="29"/>
      <c r="G82" s="27"/>
      <c r="H82" s="31"/>
      <c r="I82" s="27"/>
      <c r="J82" s="27"/>
      <c r="K82" s="27"/>
      <c r="L82" s="27"/>
      <c r="M82" s="32" t="str">
        <f t="shared" si="3"/>
        <v xml:space="preserve"> </v>
      </c>
      <c r="N82" s="32"/>
      <c r="O82" s="32"/>
    </row>
    <row r="83" spans="1:15" x14ac:dyDescent="0.25">
      <c r="A83" s="25">
        <f t="shared" si="2"/>
        <v>73</v>
      </c>
      <c r="B83" s="27"/>
      <c r="C83" s="27"/>
      <c r="D83" s="34"/>
      <c r="E83" s="27"/>
      <c r="F83" s="29"/>
      <c r="G83" s="27"/>
      <c r="H83" s="31"/>
      <c r="I83" s="27"/>
      <c r="J83" s="27"/>
      <c r="K83" s="27"/>
      <c r="L83" s="27"/>
      <c r="M83" s="32" t="str">
        <f t="shared" si="3"/>
        <v xml:space="preserve"> </v>
      </c>
      <c r="N83" s="32"/>
      <c r="O83" s="32"/>
    </row>
    <row r="84" spans="1:15" x14ac:dyDescent="0.25">
      <c r="A84" s="25">
        <f t="shared" si="2"/>
        <v>74</v>
      </c>
      <c r="B84" s="27"/>
      <c r="C84" s="27"/>
      <c r="D84" s="34"/>
      <c r="E84" s="27"/>
      <c r="F84" s="29"/>
      <c r="G84" s="27"/>
      <c r="H84" s="31"/>
      <c r="I84" s="27"/>
      <c r="J84" s="27"/>
      <c r="K84" s="27"/>
      <c r="L84" s="27"/>
      <c r="M84" s="32" t="str">
        <f t="shared" si="3"/>
        <v xml:space="preserve"> </v>
      </c>
      <c r="N84" s="32"/>
      <c r="O84" s="32"/>
    </row>
    <row r="85" spans="1:15" x14ac:dyDescent="0.25">
      <c r="A85" s="25">
        <f t="shared" si="2"/>
        <v>75</v>
      </c>
      <c r="B85" s="27"/>
      <c r="C85" s="27"/>
      <c r="D85" s="34"/>
      <c r="E85" s="27"/>
      <c r="F85" s="29"/>
      <c r="G85" s="27"/>
      <c r="H85" s="31"/>
      <c r="I85" s="27"/>
      <c r="J85" s="27"/>
      <c r="K85" s="27"/>
      <c r="L85" s="27"/>
      <c r="M85" s="32" t="str">
        <f t="shared" si="3"/>
        <v xml:space="preserve"> </v>
      </c>
      <c r="N85" s="32"/>
      <c r="O85" s="32"/>
    </row>
    <row r="86" spans="1:15" ht="16.5" thickBot="1" x14ac:dyDescent="0.3">
      <c r="A86" s="25">
        <f t="shared" si="2"/>
        <v>76</v>
      </c>
      <c r="B86" s="111"/>
      <c r="C86" s="27"/>
      <c r="D86" s="34"/>
      <c r="E86" s="27"/>
      <c r="F86" s="29"/>
      <c r="G86" s="27"/>
      <c r="H86" s="31"/>
      <c r="I86" s="27"/>
      <c r="J86" s="27"/>
      <c r="K86" s="27"/>
      <c r="L86" s="27"/>
      <c r="M86" s="32" t="str">
        <f t="shared" si="3"/>
        <v xml:space="preserve"> </v>
      </c>
      <c r="N86" s="112"/>
      <c r="O86" s="112"/>
    </row>
    <row r="87" spans="1:15" ht="16.5" thickTop="1" x14ac:dyDescent="0.25">
      <c r="A87" s="41"/>
      <c r="B87" s="52" t="s">
        <v>69</v>
      </c>
      <c r="C87" s="43"/>
      <c r="D87" s="44"/>
      <c r="E87" s="43"/>
      <c r="F87" s="45"/>
      <c r="G87" s="43"/>
      <c r="H87" s="43"/>
      <c r="I87" s="43"/>
      <c r="J87" s="46"/>
      <c r="K87" s="47"/>
      <c r="L87" s="47"/>
      <c r="M87" s="48"/>
      <c r="N87" s="49"/>
      <c r="O87" s="50"/>
    </row>
    <row r="88" spans="1:15" ht="16.5" thickBot="1" x14ac:dyDescent="0.3">
      <c r="A88" s="51"/>
      <c r="B88" s="52" t="s">
        <v>70</v>
      </c>
      <c r="C88" s="53"/>
      <c r="D88" s="54"/>
      <c r="E88" s="53"/>
      <c r="F88" s="55"/>
      <c r="G88" s="53"/>
      <c r="H88" s="53"/>
      <c r="I88" s="53"/>
      <c r="J88" s="56"/>
      <c r="K88" s="47"/>
      <c r="L88" s="57" t="s">
        <v>2</v>
      </c>
      <c r="M88" s="58"/>
      <c r="N88" s="58"/>
      <c r="O88" s="59"/>
    </row>
    <row r="89" spans="1:15" ht="16.5" thickTop="1" x14ac:dyDescent="0.25">
      <c r="A89" s="51"/>
      <c r="B89" s="52" t="s">
        <v>71</v>
      </c>
      <c r="C89" s="53"/>
      <c r="D89" s="54"/>
      <c r="E89" s="60"/>
      <c r="F89" s="61"/>
      <c r="G89" s="60"/>
      <c r="H89" s="60"/>
      <c r="I89" s="53"/>
      <c r="J89" s="56"/>
      <c r="K89" s="47"/>
      <c r="L89" s="62"/>
      <c r="M89" s="63"/>
      <c r="N89" s="63"/>
      <c r="O89" s="64"/>
    </row>
    <row r="90" spans="1:15" x14ac:dyDescent="0.25">
      <c r="A90" s="51"/>
      <c r="B90" s="52"/>
      <c r="C90" s="53"/>
      <c r="D90" s="54"/>
      <c r="E90" s="60"/>
      <c r="F90" s="61"/>
      <c r="G90" s="60"/>
      <c r="H90" s="60"/>
      <c r="I90" s="53"/>
      <c r="J90" s="56"/>
      <c r="K90" s="47"/>
      <c r="L90" s="65" t="s">
        <v>72</v>
      </c>
      <c r="M90" s="66"/>
      <c r="N90" s="67"/>
      <c r="O90" s="68">
        <f>SUM(M10:M86)</f>
        <v>1.2600000000000002</v>
      </c>
    </row>
    <row r="91" spans="1:15" x14ac:dyDescent="0.25">
      <c r="A91" s="51"/>
      <c r="B91" s="69" t="s">
        <v>73</v>
      </c>
      <c r="C91" s="53"/>
      <c r="D91" s="54"/>
      <c r="E91" s="60"/>
      <c r="F91" s="61"/>
      <c r="G91" s="60"/>
      <c r="H91" s="60"/>
      <c r="I91" s="53"/>
      <c r="J91" s="56"/>
      <c r="K91" s="47"/>
      <c r="L91" s="65" t="s">
        <v>74</v>
      </c>
      <c r="M91" s="66"/>
      <c r="N91" s="67"/>
      <c r="O91" s="68">
        <f>SUM(N10:N86)</f>
        <v>1.26</v>
      </c>
    </row>
    <row r="92" spans="1:15" x14ac:dyDescent="0.25">
      <c r="A92" s="51"/>
      <c r="B92" s="69" t="s">
        <v>75</v>
      </c>
      <c r="C92" s="53"/>
      <c r="D92" s="54"/>
      <c r="E92" s="53"/>
      <c r="F92" s="55"/>
      <c r="G92" s="53"/>
      <c r="H92" s="53"/>
      <c r="I92" s="53"/>
      <c r="J92" s="56"/>
      <c r="K92" s="47"/>
      <c r="L92" s="65" t="s">
        <v>76</v>
      </c>
      <c r="M92" s="66"/>
      <c r="N92" s="67"/>
      <c r="O92" s="68">
        <f>SUM(O10:O86)</f>
        <v>39.5</v>
      </c>
    </row>
    <row r="93" spans="1:15" ht="16.5" thickBot="1" x14ac:dyDescent="0.3">
      <c r="A93" s="70"/>
      <c r="B93" s="113" t="s">
        <v>77</v>
      </c>
      <c r="C93" s="72"/>
      <c r="D93" s="73"/>
      <c r="E93" s="72"/>
      <c r="F93" s="74"/>
      <c r="G93" s="72"/>
      <c r="H93" s="72"/>
      <c r="I93" s="72"/>
      <c r="J93" s="75"/>
      <c r="K93" s="76"/>
      <c r="L93" s="114" t="s">
        <v>78</v>
      </c>
      <c r="M93" s="78"/>
      <c r="N93" s="78"/>
      <c r="O93" s="115">
        <f>SUM(I10:I86)</f>
        <v>6</v>
      </c>
    </row>
    <row r="94" spans="1:15" ht="16.5" thickTop="1" x14ac:dyDescent="0.25">
      <c r="A94" s="80"/>
      <c r="B94" s="17" t="s">
        <v>268</v>
      </c>
      <c r="C94" s="82"/>
      <c r="D94" s="82"/>
      <c r="E94" s="82"/>
      <c r="F94" s="83"/>
      <c r="G94" s="82"/>
      <c r="H94" s="82"/>
      <c r="I94" s="82"/>
      <c r="J94" s="84"/>
      <c r="K94" s="82"/>
      <c r="L94" s="82"/>
      <c r="M94" s="83"/>
      <c r="N94" s="83"/>
      <c r="O94" s="85"/>
    </row>
  </sheetData>
  <printOptions gridLinesSet="0"/>
  <pageMargins left="0.75" right="0.25" top="0.75" bottom="0.55000000000000004" header="0.5" footer="0.5"/>
  <pageSetup scale="46" orientation="portrait" horizontalDpi="300" verticalDpi="300" r:id="rId1"/>
  <headerFooter alignWithMargins="0">
    <oddHeader>&amp;L&amp;D</oddHeader>
    <oddFooter>&amp;LOFFPNCS.XLS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CoilsLPSum</vt:lpstr>
      <vt:lpstr>CLP01</vt:lpstr>
      <vt:lpstr>CLP02</vt:lpstr>
      <vt:lpstr>CLP03</vt:lpstr>
      <vt:lpstr>CLP04</vt:lpstr>
      <vt:lpstr>AM01</vt:lpstr>
      <vt:lpstr>CV01</vt:lpstr>
      <vt:lpstr>OI01</vt:lpstr>
      <vt:lpstr>'AM01'!Print_Area</vt:lpstr>
      <vt:lpstr>CLP01!Print_Area</vt:lpstr>
      <vt:lpstr>CLP02!Print_Area</vt:lpstr>
      <vt:lpstr>CLP03!Print_Area</vt:lpstr>
      <vt:lpstr>CLP04!Print_Area</vt:lpstr>
      <vt:lpstr>'CV01'!Print_Area</vt:lpstr>
      <vt:lpstr>OI01!Print_Area</vt:lpstr>
      <vt:lpstr>'AM01'!Print_Area_MI</vt:lpstr>
      <vt:lpstr>CLP02!Print_Area_MI</vt:lpstr>
      <vt:lpstr>CLP03!Print_Area_MI</vt:lpstr>
      <vt:lpstr>CLP04!Print_Area_MI</vt:lpstr>
      <vt:lpstr>'CV01'!Print_Area_MI</vt:lpstr>
      <vt:lpstr>OI01!Print_Area_MI</vt:lpstr>
      <vt:lpstr>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Pataky</dc:creator>
  <cp:lastModifiedBy>Ken Pataky</cp:lastModifiedBy>
  <cp:lastPrinted>2015-07-12T02:27:44Z</cp:lastPrinted>
  <dcterms:created xsi:type="dcterms:W3CDTF">2015-06-28T03:05:18Z</dcterms:created>
  <dcterms:modified xsi:type="dcterms:W3CDTF">2016-04-11T01:38:01Z</dcterms:modified>
</cp:coreProperties>
</file>